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corecard" sheetId="2" state="visible" r:id="rId4"/>
    <sheet name="KillTest" sheetId="3" state="visible" r:id="rId5"/>
    <sheet name="UnitEcon" sheetId="4" state="visible" r:id="rId6"/>
    <sheet name="Capacity" sheetId="5" state="visible" r:id="rId7"/>
    <sheet name="RevShare" sheetId="6" state="visible" r:id="rId8"/>
    <sheet name="Runway" sheetId="7" state="visible" r:id="rId9"/>
    <sheet name="Capital" sheetId="8" state="visible" r:id="rId10"/>
    <sheet name="TechEcon" sheetId="9" state="visible" r:id="rId11"/>
    <sheet name="BuildBuy" sheetId="10" state="visible" r:id="rId12"/>
    <sheet name="Dashboard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<sst xmlns="http://schemas.openxmlformats.org/spreadsheetml/2006/main" count="334" uniqueCount="306">
  <si>
    <t xml:space="preserve">The Blank Sheet Operator: Calculators</t>
  </si>
  <si>
    <t xml:space="preserve">Companion workbook to the book The Blank Sheet Operator by Emmanuel C. Ikehi.</t>
  </si>
  <si>
    <t xml:space="preserve">How to use it:</t>
  </si>
  <si>
    <t xml:space="preserve">1. Go to the tab for the chapter tool you are working on.</t>
  </si>
  <si>
    <t xml:space="preserve">2. Edit only the cells with blue text on a yellow fill. Everything else is a formula and updates on its own.</t>
  </si>
  <si>
    <t xml:space="preserve">3. Replace the example values with your own. The examples come from the book and are illustrative, not benchmarks.</t>
  </si>
  <si>
    <t xml:space="preserve">4. Treat every result as a decision aid. The thresholds and bands are operator heuristics, not laws.</t>
  </si>
  <si>
    <t xml:space="preserve">Tabs:</t>
  </si>
  <si>
    <t xml:space="preserve">Scorecard (Chapter 2): ten-dimension opportunity score with evidence</t>
  </si>
  <si>
    <t xml:space="preserve">KillTest (Chapter 3): thresholds, results, and a verdict</t>
  </si>
  <si>
    <t xml:space="preserve">UnitEcon (Chapter 5): unit economics ladder, break-even, working capital, sensitivity grid</t>
  </si>
  <si>
    <t xml:space="preserve">Capacity (Chapter 6): break-even utilisation and capacity tiers</t>
  </si>
  <si>
    <t xml:space="preserve">RevShare (Chapter 10): three-way split under falling utilisation</t>
  </si>
  <si>
    <t xml:space="preserve">Runway (Chapter 13): runway before and after cost changes</t>
  </si>
  <si>
    <t xml:space="preserve">Capital (Chapter 14): staged funding and dilution</t>
  </si>
  <si>
    <t xml:space="preserve">TechEcon (Chapter 16): payback for technology choices</t>
  </si>
  <si>
    <t xml:space="preserve">BuildBuy (Chapter 17): weighted decision and three-year cost</t>
  </si>
  <si>
    <t xml:space="preserve">Dashboard (Chapter 18): seven tests and a suggested decision</t>
  </si>
  <si>
    <t xml:space="preserve">Currency is shown in naira. Change the currency format if you work in another currency.</t>
  </si>
  <si>
    <t xml:space="preserve">This workbook is for educational purposes and is not financial, legal, tax, or investment advice.</t>
  </si>
  <si>
    <t xml:space="preserve">www.emmanuelikehi.com</t>
  </si>
  <si>
    <t xml:space="preserve">Opportunity Scorecard (Chapter 2)</t>
  </si>
  <si>
    <t xml:space="preserve">Score each dimension 0 to 5 using evidence, not enthusiasm. For Competition, Capital, Complexity, and Regulation a high score means the condition is favourable.</t>
  </si>
  <si>
    <t xml:space="preserve">Blue text on yellow = cells to edit. Black = formulas. The example values are illustrative and come from the worked examples in the book.</t>
  </si>
  <si>
    <t xml:space="preserve">Dimension</t>
  </si>
  <si>
    <t xml:space="preserve">Score (0 to 5)</t>
  </si>
  <si>
    <t xml:space="preserve">Evidence</t>
  </si>
  <si>
    <t xml:space="preserve">Confidence (H/M/L)</t>
  </si>
  <si>
    <t xml:space="preserve">Next test</t>
  </si>
  <si>
    <t xml:space="preserve">Pain</t>
  </si>
  <si>
    <t xml:space="preserve">8 of 10 interviewees had unused items; only 2 had tried to sell</t>
  </si>
  <si>
    <t xml:space="preserve">M</t>
  </si>
  <si>
    <t xml:space="preserve">Ask who paid for a swap service before</t>
  </si>
  <si>
    <t xml:space="preserve">Demand</t>
  </si>
  <si>
    <t xml:space="preserve">Interest is casual, not urgent</t>
  </si>
  <si>
    <t xml:space="preserve">Track repeat requests</t>
  </si>
  <si>
    <t xml:space="preserve">Payment</t>
  </si>
  <si>
    <t xml:space="preserve">No one had paid a listing fee before</t>
  </si>
  <si>
    <t xml:space="preserve">H</t>
  </si>
  <si>
    <t xml:space="preserve">Test a paid listing or commission</t>
  </si>
  <si>
    <t xml:space="preserve">Market</t>
  </si>
  <si>
    <t xml:space="preserve">Large urban, mobile-first population</t>
  </si>
  <si>
    <t xml:space="preserve">Size reachable users</t>
  </si>
  <si>
    <t xml:space="preserve">Timing</t>
  </si>
  <si>
    <t xml:space="preserve">Cost-of-living pressure</t>
  </si>
  <si>
    <t xml:space="preserve">Check trend over 12 months</t>
  </si>
  <si>
    <t xml:space="preserve">Competition</t>
  </si>
  <si>
    <t xml:space="preserve">Classifieds exist; few swap-first</t>
  </si>
  <si>
    <t xml:space="preserve">Map informal alternatives</t>
  </si>
  <si>
    <t xml:space="preserve">Capital</t>
  </si>
  <si>
    <t xml:space="preserve">Cheap first version</t>
  </si>
  <si>
    <t xml:space="preserve">Cost the pilot</t>
  </si>
  <si>
    <t xml:space="preserve">Complexity</t>
  </si>
  <si>
    <t xml:space="preserve">Trust and logistics are hard</t>
  </si>
  <si>
    <t xml:space="preserve">Run a manual swap week</t>
  </si>
  <si>
    <t xml:space="preserve">Regulation</t>
  </si>
  <si>
    <t xml:space="preserve">Few barriers; data law applies</t>
  </si>
  <si>
    <t xml:space="preserve">Confirm data obligations</t>
  </si>
  <si>
    <t xml:space="preserve">Advantage</t>
  </si>
  <si>
    <t xml:space="preserve">Builder with commercial skill; no community yet</t>
  </si>
  <si>
    <t xml:space="preserve">Secure first 50 users</t>
  </si>
  <si>
    <t xml:space="preserve">Total (out of 50)</t>
  </si>
  <si>
    <t xml:space="preserve">Band (heuristic)</t>
  </si>
  <si>
    <t xml:space="preserve">Lowest score</t>
  </si>
  <si>
    <t xml:space="preserve">Weakest dimension (test this first)</t>
  </si>
  <si>
    <t xml:space="preserve">Why now?</t>
  </si>
  <si>
    <t xml:space="preserve">Edit: one sentence</t>
  </si>
  <si>
    <t xml:space="preserve">Why us?</t>
  </si>
  <si>
    <t xml:space="preserve">Kill-Test Sheet (Chapter 3)</t>
  </si>
  <si>
    <t xml:space="preserve">Set thresholds BEFORE the test and do not edit them afterwards. Direction says whether a higher or lower result is better.</t>
  </si>
  <si>
    <t xml:space="preserve">Assumption</t>
  </si>
  <si>
    <t xml:space="preserve">Threshold</t>
  </si>
  <si>
    <t xml:space="preserve">Actual result</t>
  </si>
  <si>
    <t xml:space="preserve">Direction (Higher/Lower)</t>
  </si>
  <si>
    <t xml:space="preserve">Status</t>
  </si>
  <si>
    <t xml:space="preserve">Pre-agreed response if missed</t>
  </si>
  <si>
    <t xml:space="preserve">Qualified visitors</t>
  </si>
  <si>
    <t xml:space="preserve">Higher</t>
  </si>
  <si>
    <t xml:space="preserve">Redesign the channel</t>
  </si>
  <si>
    <t xml:space="preserve">Commitment rate</t>
  </si>
  <si>
    <t xml:space="preserve">Stop or redesign the offer</t>
  </si>
  <si>
    <t xml:space="preserve">Average deposit (₦)</t>
  </si>
  <si>
    <t xml:space="preserve">Rework pricing</t>
  </si>
  <si>
    <t xml:space="preserve">Cost per commitment (₦)</t>
  </si>
  <si>
    <t xml:space="preserve">Lower</t>
  </si>
  <si>
    <t xml:space="preserve">Rework acquisition</t>
  </si>
  <si>
    <t xml:space="preserve">Test spend (₦)</t>
  </si>
  <si>
    <t xml:space="preserve">Commitments obtained</t>
  </si>
  <si>
    <t xml:space="preserve">Cost per commitment (calculated)</t>
  </si>
  <si>
    <t xml:space="preserve">Thresholds missed</t>
  </si>
  <si>
    <t xml:space="preserve">Suggested verdict</t>
  </si>
  <si>
    <t xml:space="preserve">Money spent so far (₦)</t>
  </si>
  <si>
    <t xml:space="preserve">Planned further spend (₦)</t>
  </si>
  <si>
    <t xml:space="preserve">Money saved by stopping now (₦)</t>
  </si>
  <si>
    <t xml:space="preserve">Unit Economics Model (Chapter 5)</t>
  </si>
  <si>
    <t xml:space="preserve">Work down the ladder for one unit in three cases. CM1 = revenue less delivery, transaction, and acquisition costs. CM2 also removes direct unit support costs.</t>
  </si>
  <si>
    <t xml:space="preserve">Per unit</t>
  </si>
  <si>
    <t xml:space="preserve">Base</t>
  </si>
  <si>
    <t xml:space="preserve">Downside</t>
  </si>
  <si>
    <t xml:space="preserve">Upside</t>
  </si>
  <si>
    <t xml:space="preserve">List price (₦)</t>
  </si>
  <si>
    <t xml:space="preserve">Discounts and refunds (%)</t>
  </si>
  <si>
    <t xml:space="preserve">Direct delivery cost (₦)</t>
  </si>
  <si>
    <t xml:space="preserve">Transaction drag: fees, FX, fraud (₦)</t>
  </si>
  <si>
    <t xml:space="preserve">Direct acquisition cost (₦)</t>
  </si>
  <si>
    <t xml:space="preserve">Direct unit support: maintenance, storage (₦)</t>
  </si>
  <si>
    <t xml:space="preserve">Realised revenue (₦)</t>
  </si>
  <si>
    <t xml:space="preserve">CM1 (₦)</t>
  </si>
  <si>
    <t xml:space="preserve">CM2 (₦)</t>
  </si>
  <si>
    <t xml:space="preserve">Monthly fixed costs (₦)</t>
  </si>
  <si>
    <t xml:space="preserve">Break-even units a month</t>
  </si>
  <si>
    <t xml:space="preserve">Working capital gap</t>
  </si>
  <si>
    <t xml:space="preserve">Monthly revenue (₦)</t>
  </si>
  <si>
    <t xml:space="preserve">Days to collect from customers</t>
  </si>
  <si>
    <t xml:space="preserve">Days to pay suppliers</t>
  </si>
  <si>
    <t xml:space="preserve">Cash tied up in the gap (₦)</t>
  </si>
  <si>
    <t xml:space="preserve">Sensitivity: break-even units a month (base case)</t>
  </si>
  <si>
    <t xml:space="preserve">Price change (down) / Acquisition cost change (across)</t>
  </si>
  <si>
    <t xml:space="preserve">Capacity Economics Calculator (Chapter 6)</t>
  </si>
  <si>
    <t xml:space="preserve">Find the utilisation your business needs just to cover its fixed costs, and see how fragile it is.</t>
  </si>
  <si>
    <t xml:space="preserve">Available units per month</t>
  </si>
  <si>
    <t xml:space="preserve">Fixed capacity cost per month (₦)</t>
  </si>
  <si>
    <t xml:space="preserve">Average realised price per used unit (₦)</t>
  </si>
  <si>
    <t xml:space="preserve">Variable cost per used unit (₦)</t>
  </si>
  <si>
    <t xml:space="preserve">Current utilisation (%)</t>
  </si>
  <si>
    <t xml:space="preserve">Contribution per used unit (₦)</t>
  </si>
  <si>
    <t xml:space="preserve">Break-even units</t>
  </si>
  <si>
    <t xml:space="preserve">Break-even utilisation</t>
  </si>
  <si>
    <t xml:space="preserve">Used units at current utilisation</t>
  </si>
  <si>
    <t xml:space="preserve">Total contribution (₦)</t>
  </si>
  <si>
    <t xml:space="preserve">Operating profit (₦)</t>
  </si>
  <si>
    <t xml:space="preserve">Utilisation if demand falls 25%</t>
  </si>
  <si>
    <t xml:space="preserve">Operating profit at that utilisation (₦)</t>
  </si>
  <si>
    <t xml:space="preserve">Revenue per available unit (₦)</t>
  </si>
  <si>
    <t xml:space="preserve">Headroom above break-even (points)</t>
  </si>
  <si>
    <t xml:space="preserve">Break-even floor check</t>
  </si>
  <si>
    <t xml:space="preserve">Capacity tier</t>
  </si>
  <si>
    <t xml:space="preserve">Share (heuristic)</t>
  </si>
  <si>
    <t xml:space="preserve">Units</t>
  </si>
  <si>
    <t xml:space="preserve">Pricing approach</t>
  </si>
  <si>
    <t xml:space="preserve">Base-load anchor</t>
  </si>
  <si>
    <t xml:space="preserve">Lower price, longer commitment</t>
  </si>
  <si>
    <t xml:space="preserve">Standard commercial</t>
  </si>
  <si>
    <t xml:space="preserve">Market price</t>
  </si>
  <si>
    <t xml:space="preserve">Spot and dynamic yield</t>
  </si>
  <si>
    <t xml:space="preserve">Premium for peaks and urgent work</t>
  </si>
  <si>
    <t xml:space="preserve">Total (must be 100%)</t>
  </si>
  <si>
    <t xml:space="preserve">Note: the 50 to 60, 25 to 35, and 10 to 15 percent tier shares are operator heuristics, not laws.</t>
  </si>
  <si>
    <t xml:space="preserve">Three-Way Revenue Share Calculator (Chapter 10)</t>
  </si>
  <si>
    <t xml:space="preserve">Stress-test a split. The operator pays direct costs from its share. Watch which party goes under first as utilisation falls.</t>
  </si>
  <si>
    <t xml:space="preserve">Daily rate when working (₦)</t>
  </si>
  <si>
    <t xml:space="preserve">Days in the month</t>
  </si>
  <si>
    <t xml:space="preserve">Capital provider share</t>
  </si>
  <si>
    <t xml:space="preserve">Operator share</t>
  </si>
  <si>
    <t xml:space="preserve">Platform share</t>
  </si>
  <si>
    <t xml:space="preserve">Shares total (must be 100%)</t>
  </si>
  <si>
    <t xml:space="preserve">Operator direct costs per month (₦)</t>
  </si>
  <si>
    <t xml:space="preserve">Capital provider investment to recover (₦)</t>
  </si>
  <si>
    <t xml:space="preserve">Utilisation</t>
  </si>
  <si>
    <t xml:space="preserve">Rental days</t>
  </si>
  <si>
    <t xml:space="preserve">Gross revenue</t>
  </si>
  <si>
    <t xml:space="preserve">Capital provider</t>
  </si>
  <si>
    <t xml:space="preserve">Operator payout</t>
  </si>
  <si>
    <t xml:space="preserve">Operator net</t>
  </si>
  <si>
    <t xml:space="preserve">Platform</t>
  </si>
  <si>
    <t xml:space="preserve">Capital payback (months)</t>
  </si>
  <si>
    <t xml:space="preserve">Operator break-even utilisation</t>
  </si>
  <si>
    <t xml:space="preserve">Who goes under first?</t>
  </si>
  <si>
    <t xml:space="preserve">Runway Reallocation Calculator (Chapter 13)</t>
  </si>
  <si>
    <t xml:space="preserve">Sort every cost into Survive, Prove, or Wait, then see how much longer the cash lasts. Runway = cash divided by net monthly burn.</t>
  </si>
  <si>
    <t xml:space="preserve">Cost line</t>
  </si>
  <si>
    <t xml:space="preserve">Current monthly (₦)</t>
  </si>
  <si>
    <t xml:space="preserve">Bucket (Survive/Prove/Wait)</t>
  </si>
  <si>
    <t xml:space="preserve">New monthly (₦)</t>
  </si>
  <si>
    <t xml:space="preserve">Developers and contractors</t>
  </si>
  <si>
    <t xml:space="preserve">Prove</t>
  </si>
  <si>
    <t xml:space="preserve">Marketing</t>
  </si>
  <si>
    <t xml:space="preserve">Wait</t>
  </si>
  <si>
    <t xml:space="preserve">Hosting and tools</t>
  </si>
  <si>
    <t xml:space="preserve">Survive</t>
  </si>
  <si>
    <t xml:space="preserve">Founder expenses</t>
  </si>
  <si>
    <t xml:space="preserve">Miscellaneous and legal</t>
  </si>
  <si>
    <t xml:space="preserve">Total costs</t>
  </si>
  <si>
    <t xml:space="preserve">Cash in each month (₦)</t>
  </si>
  <si>
    <t xml:space="preserve">Net burn (₦)</t>
  </si>
  <si>
    <t xml:space="preserve">Cash on hand (₦)</t>
  </si>
  <si>
    <t xml:space="preserve">Runway now (months)</t>
  </si>
  <si>
    <t xml:space="preserve">Runway after changes (months)</t>
  </si>
  <si>
    <t xml:space="preserve">Downside: new cash in falls by 30% (months)</t>
  </si>
  <si>
    <t xml:space="preserve">Cost by bucket (new monthly)</t>
  </si>
  <si>
    <t xml:space="preserve">Restart trigger</t>
  </si>
  <si>
    <t xml:space="preserve">Edit: e.g. funding of a stated size</t>
  </si>
  <si>
    <t xml:space="preserve">Review date</t>
  </si>
  <si>
    <t xml:space="preserve">Edit</t>
  </si>
  <si>
    <t xml:space="preserve">Capital Requirement and Staging Model (Chapter 14)</t>
  </si>
  <si>
    <t xml:space="preserve">Tie each tranche to the proof it buys. Then check what each approach costs you in ownership.</t>
  </si>
  <si>
    <t xml:space="preserve">Proof to be bought</t>
  </si>
  <si>
    <t xml:space="preserve">Capital (₦)</t>
  </si>
  <si>
    <t xml:space="preserve">Duration (months)</t>
  </si>
  <si>
    <t xml:space="preserve">Funding source</t>
  </si>
  <si>
    <t xml:space="preserve">Success metric</t>
  </si>
  <si>
    <t xml:space="preserve">Cumulative (₦)</t>
  </si>
  <si>
    <t xml:space="preserve">Share of total</t>
  </si>
  <si>
    <t xml:space="preserve">Prototype and pilot preparation</t>
  </si>
  <si>
    <t xml:space="preserve">Founder or strategic</t>
  </si>
  <si>
    <t xml:space="preserve">Working system</t>
  </si>
  <si>
    <t xml:space="preserve">First commercial pilots</t>
  </si>
  <si>
    <t xml:space="preserve">Customer capital</t>
  </si>
  <si>
    <t xml:space="preserve">Paid customers</t>
  </si>
  <si>
    <t xml:space="preserve">Repeat purchase and economics</t>
  </si>
  <si>
    <t xml:space="preserve">Angel or strategic</t>
  </si>
  <si>
    <t xml:space="preserve">Repeat purchase</t>
  </si>
  <si>
    <t xml:space="preserve">Expand the validated model</t>
  </si>
  <si>
    <t xml:space="preserve">Growth capital</t>
  </si>
  <si>
    <t xml:space="preserve">Positive contribution</t>
  </si>
  <si>
    <t xml:space="preserve">Total capital required</t>
  </si>
  <si>
    <t xml:space="preserve">Dilution check</t>
  </si>
  <si>
    <t xml:space="preserve">Round</t>
  </si>
  <si>
    <t xml:space="preserve">Share sold</t>
  </si>
  <si>
    <t xml:space="preserve">Ownership kept after round</t>
  </si>
  <si>
    <t xml:space="preserve">Round 1</t>
  </si>
  <si>
    <t xml:space="preserve">Round 2</t>
  </si>
  <si>
    <t xml:space="preserve">Round 3</t>
  </si>
  <si>
    <t xml:space="preserve">Convertible instrument at a post-money cap</t>
  </si>
  <si>
    <t xml:space="preserve">Investment (₦)</t>
  </si>
  <si>
    <t xml:space="preserve">Post-money valuation cap (₦)</t>
  </si>
  <si>
    <t xml:space="preserve">Ownership at the cap</t>
  </si>
  <si>
    <t xml:space="preserve">The six funding-request questions: capital, purpose, proof, milestone, next decision, failure response. Write them on one page before any pitch.</t>
  </si>
  <si>
    <t xml:space="preserve">Technology-to-Economics Map (Chapter 16)</t>
  </si>
  <si>
    <t xml:space="preserve">Every technology choice must reach a number. Payback = implementation cost divided by (monthly benefit minus monthly running cost).</t>
  </si>
  <si>
    <t xml:space="preserve">Technology</t>
  </si>
  <si>
    <t xml:space="preserve">Economic variable</t>
  </si>
  <si>
    <t xml:space="preserve">Monthly benefit (₦)</t>
  </si>
  <si>
    <t xml:space="preserve">Implementation cost (₦)</t>
  </si>
  <si>
    <t xml:space="preserve">Monthly running cost (₦)</t>
  </si>
  <si>
    <t xml:space="preserve">Net monthly benefit (₦)</t>
  </si>
  <si>
    <t xml:space="preserve">Payback (months)</t>
  </si>
  <si>
    <t xml:space="preserve">AI-assisted request handling</t>
  </si>
  <si>
    <t xml:space="preserve">Cost</t>
  </si>
  <si>
    <t xml:space="preserve">Payment API integration</t>
  </si>
  <si>
    <t xml:space="preserve">Capacity</t>
  </si>
  <si>
    <t xml:space="preserve">Customer mobile app</t>
  </si>
  <si>
    <t xml:space="preserve">Conversion</t>
  </si>
  <si>
    <t xml:space="preserve">Entries are illustrative. A technology that cannot be tied to a benefit number is a hobby, not a strategy.</t>
  </si>
  <si>
    <t xml:space="preserve">Build, Buy, Partner Decision Tool (Chapter 17)</t>
  </si>
  <si>
    <t xml:space="preserve">Score each option 1 (unfavourable) to 5 (favourable). Weights must add to 100%. Weights encode your strategy: change them and the answer should change.</t>
  </si>
  <si>
    <t xml:space="preserve">Criterion</t>
  </si>
  <si>
    <t xml:space="preserve">Weight</t>
  </si>
  <si>
    <t xml:space="preserve">Build</t>
  </si>
  <si>
    <t xml:space="preserve">Buy</t>
  </si>
  <si>
    <t xml:space="preserve">Partner</t>
  </si>
  <si>
    <t xml:space="preserve">License</t>
  </si>
  <si>
    <t xml:space="preserve">Cost over three years</t>
  </si>
  <si>
    <t xml:space="preserve">Speed to market</t>
  </si>
  <si>
    <t xml:space="preserve">Control</t>
  </si>
  <si>
    <t xml:space="preserve">IP ownership</t>
  </si>
  <si>
    <t xml:space="preserve">Risk</t>
  </si>
  <si>
    <t xml:space="preserve">Strategic importance</t>
  </si>
  <si>
    <t xml:space="preserve">Weights total (must be 100%)</t>
  </si>
  <si>
    <t xml:space="preserve">Weighted score</t>
  </si>
  <si>
    <t xml:space="preserve">Highest-scoring option</t>
  </si>
  <si>
    <t xml:space="preserve">Three-year cost comparison</t>
  </si>
  <si>
    <t xml:space="preserve">Item</t>
  </si>
  <si>
    <t xml:space="preserve">Build (₦)</t>
  </si>
  <si>
    <t xml:space="preserve">Buy (₦)</t>
  </si>
  <si>
    <t xml:space="preserve">Implementation cost</t>
  </si>
  <si>
    <t xml:space="preserve">Annual running cost</t>
  </si>
  <si>
    <t xml:space="preserve">Years</t>
  </si>
  <si>
    <t xml:space="preserve">Total cost</t>
  </si>
  <si>
    <t xml:space="preserve">Vendor price rise in final year (%)</t>
  </si>
  <si>
    <t xml:space="preserve">Buy total with the price rise (₦)</t>
  </si>
  <si>
    <t xml:space="preserve">Cost difference, build minus buy (₦)</t>
  </si>
  <si>
    <t xml:space="preserve">Also ask: if this capability disappeared tomorrow, would our advantage disappear with it? What would exit cost?</t>
  </si>
  <si>
    <t xml:space="preserve">Scale, Pivot, or Kill Dashboard (Chapter 18)</t>
  </si>
  <si>
    <t xml:space="preserve">Score each test 1 to 5 with evidence. The suggested decision reads the pattern, not just the total. It is an aid to judgement, not a verdict, and it does not cover SELL.</t>
  </si>
  <si>
    <t xml:space="preserve">Test</t>
  </si>
  <si>
    <t xml:space="preserve">Score (1 to 5)</t>
  </si>
  <si>
    <t xml:space="preserve">Critical question</t>
  </si>
  <si>
    <t xml:space="preserve">1. Evidence</t>
  </si>
  <si>
    <t xml:space="preserve">220 paying users, 31% repeat</t>
  </si>
  <si>
    <t xml:space="preserve">Are customers paying, and will they repeat?</t>
  </si>
  <si>
    <t xml:space="preserve">2. Economics</t>
  </si>
  <si>
    <t xml:space="preserve">Contribution margin 28% against a 35% target</t>
  </si>
  <si>
    <t xml:space="preserve">Does one unit make money?</t>
  </si>
  <si>
    <t xml:space="preserve">3. Market</t>
  </si>
  <si>
    <t xml:space="preserve">Large urban demand, clear channels</t>
  </si>
  <si>
    <t xml:space="preserve">Is it large and reachable enough?</t>
  </si>
  <si>
    <t xml:space="preserve">4. Execution</t>
  </si>
  <si>
    <t xml:space="preserve">Delivery reliable; support stretched</t>
  </si>
  <si>
    <t xml:space="preserve">Can we deliver at volume?</t>
  </si>
  <si>
    <t xml:space="preserve">5. Capital</t>
  </si>
  <si>
    <t xml:space="preserve">Six months of runway, no committed funding</t>
  </si>
  <si>
    <t xml:space="preserve">Can we fund the next proof?</t>
  </si>
  <si>
    <t xml:space="preserve">6. Competitive advantage</t>
  </si>
  <si>
    <t xml:space="preserve">Early lead, limited moat</t>
  </si>
  <si>
    <t xml:space="preserve">Is there something to defend?</t>
  </si>
  <si>
    <t xml:space="preserve">7. Strategic fit</t>
  </si>
  <si>
    <t xml:space="preserve">Fits founder skills and priorities</t>
  </si>
  <si>
    <t xml:space="preserve">Is it the right business for us now?</t>
  </si>
  <si>
    <t xml:space="preserve">Total (out of 35)</t>
  </si>
  <si>
    <t xml:space="preserve">Weakest test</t>
  </si>
  <si>
    <t xml:space="preserve">Suggested decision</t>
  </si>
  <si>
    <t xml:space="preserve">Sunk-cost question</t>
  </si>
  <si>
    <t xml:space="preserve">If this were not my business today, knowing what I know now, would I invest in it?</t>
  </si>
  <si>
    <t xml:space="preserve">Your decision and reason</t>
  </si>
  <si>
    <t xml:space="preserve">Owner and date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</si>
</sst>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#,##0;\(#,##0\);\-"/>
    <numFmt numFmtId="167" formatCode="0.0%"/>
    <numFmt numFmtId="168" formatCode="\₦#,##0;&quot;(₦&quot;#,##0\);\-"/>
    <numFmt numFmtId="169" formatCode="#,##0.0;\(#,##0.0\);\-"/>
    <numFmt numFmtId="170" formatCode="0.0"/>
    <numFmt numFmtId="171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3A68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0F3A68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3A68"/>
        <bgColor rgb="FF333399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F3A6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2" t="s">
        <v>18</v>
      </c>
    </row>
    <row r="24" customFormat="false" ht="15" hidden="false" customHeight="false" outlineLevel="0" collapsed="false">
      <c r="A24" s="2" t="s">
        <v>19</v>
      </c>
    </row>
    <row r="25" customFormat="false" ht="15" hidden="false" customHeight="false" outlineLevel="0" collapsed="false">
      <c r="A25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36"/>
  </cols>
  <sheetData>
    <row r="1" customFormat="false" ht="17.35" hidden="false" customHeight="false" outlineLevel="0" collapsed="false">
      <c r="A1" s="4" t="s">
        <v>21</v>
      </c>
    </row>
    <row r="2" customFormat="false" ht="42" hidden="false" customHeight="true" outlineLevel="0" collapsed="false">
      <c r="A2" s="5" t="s">
        <v>22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23.85" hidden="false" customHeight="false" outlineLevel="0" collapsed="false">
      <c r="A5" s="7" t="s">
        <v>24</v>
      </c>
      <c r="B5" s="7" t="s">
        <v>25</v>
      </c>
      <c r="C5" s="7" t="s">
        <v>26</v>
      </c>
      <c r="D5" s="7" t="s">
        <v>27</v>
      </c>
      <c r="E5" s="7" t="s">
        <v>28</v>
      </c>
    </row>
    <row r="6" customFormat="false" ht="23.85" hidden="false" customHeight="false" outlineLevel="0" collapsed="false">
      <c r="A6" s="8" t="s">
        <v>29</v>
      </c>
      <c r="B6" s="9" t="n">
        <v>3</v>
      </c>
      <c r="C6" s="10" t="s">
        <v>30</v>
      </c>
      <c r="D6" s="11" t="s">
        <v>31</v>
      </c>
      <c r="E6" s="10" t="s">
        <v>32</v>
      </c>
    </row>
    <row r="7" customFormat="false" ht="15" hidden="false" customHeight="false" outlineLevel="0" collapsed="false">
      <c r="A7" s="8" t="s">
        <v>33</v>
      </c>
      <c r="B7" s="9" t="n">
        <v>3</v>
      </c>
      <c r="C7" s="10" t="s">
        <v>34</v>
      </c>
      <c r="D7" s="11" t="s">
        <v>31</v>
      </c>
      <c r="E7" s="10" t="s">
        <v>35</v>
      </c>
    </row>
    <row r="8" customFormat="false" ht="15" hidden="false" customHeight="false" outlineLevel="0" collapsed="false">
      <c r="A8" s="8" t="s">
        <v>36</v>
      </c>
      <c r="B8" s="9" t="n">
        <v>2</v>
      </c>
      <c r="C8" s="10" t="s">
        <v>37</v>
      </c>
      <c r="D8" s="11" t="s">
        <v>38</v>
      </c>
      <c r="E8" s="10" t="s">
        <v>39</v>
      </c>
    </row>
    <row r="9" customFormat="false" ht="15" hidden="false" customHeight="false" outlineLevel="0" collapsed="false">
      <c r="A9" s="8" t="s">
        <v>40</v>
      </c>
      <c r="B9" s="9" t="n">
        <v>4</v>
      </c>
      <c r="C9" s="10" t="s">
        <v>41</v>
      </c>
      <c r="D9" s="11" t="s">
        <v>31</v>
      </c>
      <c r="E9" s="10" t="s">
        <v>42</v>
      </c>
    </row>
    <row r="10" customFormat="false" ht="15" hidden="false" customHeight="false" outlineLevel="0" collapsed="false">
      <c r="A10" s="8" t="s">
        <v>43</v>
      </c>
      <c r="B10" s="9" t="n">
        <v>4</v>
      </c>
      <c r="C10" s="10" t="s">
        <v>44</v>
      </c>
      <c r="D10" s="11" t="s">
        <v>31</v>
      </c>
      <c r="E10" s="10" t="s">
        <v>45</v>
      </c>
    </row>
    <row r="11" customFormat="false" ht="15" hidden="false" customHeight="false" outlineLevel="0" collapsed="false">
      <c r="A11" s="8" t="s">
        <v>46</v>
      </c>
      <c r="B11" s="9" t="n">
        <v>3</v>
      </c>
      <c r="C11" s="10" t="s">
        <v>47</v>
      </c>
      <c r="D11" s="11" t="s">
        <v>31</v>
      </c>
      <c r="E11" s="10" t="s">
        <v>48</v>
      </c>
    </row>
    <row r="12" customFormat="false" ht="15" hidden="false" customHeight="false" outlineLevel="0" collapsed="false">
      <c r="A12" s="8" t="s">
        <v>49</v>
      </c>
      <c r="B12" s="9" t="n">
        <v>4</v>
      </c>
      <c r="C12" s="10" t="s">
        <v>50</v>
      </c>
      <c r="D12" s="11" t="s">
        <v>38</v>
      </c>
      <c r="E12" s="10" t="s">
        <v>51</v>
      </c>
    </row>
    <row r="13" customFormat="false" ht="15" hidden="false" customHeight="false" outlineLevel="0" collapsed="false">
      <c r="A13" s="8" t="s">
        <v>52</v>
      </c>
      <c r="B13" s="9" t="n">
        <v>3</v>
      </c>
      <c r="C13" s="10" t="s">
        <v>53</v>
      </c>
      <c r="D13" s="11" t="s">
        <v>31</v>
      </c>
      <c r="E13" s="10" t="s">
        <v>54</v>
      </c>
    </row>
    <row r="14" customFormat="false" ht="15" hidden="false" customHeight="false" outlineLevel="0" collapsed="false">
      <c r="A14" s="8" t="s">
        <v>55</v>
      </c>
      <c r="B14" s="9" t="n">
        <v>4</v>
      </c>
      <c r="C14" s="10" t="s">
        <v>56</v>
      </c>
      <c r="D14" s="11" t="s">
        <v>31</v>
      </c>
      <c r="E14" s="10" t="s">
        <v>57</v>
      </c>
    </row>
    <row r="15" customFormat="false" ht="15" hidden="false" customHeight="false" outlineLevel="0" collapsed="false">
      <c r="A15" s="8" t="s">
        <v>58</v>
      </c>
      <c r="B15" s="9" t="n">
        <v>3</v>
      </c>
      <c r="C15" s="10" t="s">
        <v>59</v>
      </c>
      <c r="D15" s="11" t="s">
        <v>31</v>
      </c>
      <c r="E15" s="10" t="s">
        <v>60</v>
      </c>
    </row>
    <row r="16" customFormat="false" ht="15" hidden="false" customHeight="false" outlineLevel="0" collapsed="false">
      <c r="A16" s="12" t="s">
        <v>61</v>
      </c>
      <c r="B16" s="13" t="n">
        <f aca="false">SUM(B6:B15)</f>
        <v>33</v>
      </c>
    </row>
    <row r="17" customFormat="false" ht="15" hidden="false" customHeight="false" outlineLevel="0" collapsed="false">
      <c r="A17" s="12" t="s">
        <v>62</v>
      </c>
      <c r="B17" s="12" t="str">
        <f aca="false">IF(B16&gt;=40,"Strong",IF(B16&gt;=30,"Promising but flawed",IF(B16&gt;=20,"Risky","Walk away or reframe")))</f>
        <v>Promising but flawed</v>
      </c>
    </row>
    <row r="18" customFormat="false" ht="15" hidden="false" customHeight="false" outlineLevel="0" collapsed="false">
      <c r="A18" s="12" t="s">
        <v>63</v>
      </c>
      <c r="B18" s="13" t="n">
        <f aca="false">MIN(B6:B15)</f>
        <v>2</v>
      </c>
    </row>
    <row r="19" customFormat="false" ht="15" hidden="false" customHeight="false" outlineLevel="0" collapsed="false">
      <c r="A19" s="12" t="s">
        <v>64</v>
      </c>
      <c r="B19" s="12" t="str">
        <f aca="false">INDEX(A6:A15,MATCH(MIN(B6:B15),B6:B15,0))</f>
        <v>Payment</v>
      </c>
    </row>
    <row r="20" customFormat="false" ht="15" hidden="false" customHeight="false" outlineLevel="0" collapsed="false">
      <c r="A20" s="8" t="s">
        <v>65</v>
      </c>
      <c r="B20" s="11" t="s">
        <v>66</v>
      </c>
      <c r="C20" s="11"/>
      <c r="D20" s="11"/>
      <c r="E20" s="11"/>
    </row>
    <row r="21" customFormat="false" ht="15" hidden="false" customHeight="false" outlineLevel="0" collapsed="false">
      <c r="A21" s="8" t="s">
        <v>67</v>
      </c>
      <c r="B21" s="11" t="s">
        <v>66</v>
      </c>
      <c r="C21" s="11"/>
      <c r="D21" s="11"/>
      <c r="E21" s="11"/>
    </row>
  </sheetData>
  <mergeCells count="4">
    <mergeCell ref="A2:G2"/>
    <mergeCell ref="A3:G3"/>
    <mergeCell ref="B20:E20"/>
    <mergeCell ref="B21:E21"/>
  </mergeCells>
  <dataValidations count="1">
    <dataValidation allowBlank="false" error="Enter a whole number from 0 to 5" errorStyle="stop" operator="between" showDropDown="false" showErrorMessage="true" showInputMessage="false" sqref="B6:B15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4" t="s">
        <v>68</v>
      </c>
    </row>
    <row r="2" customFormat="false" ht="42" hidden="false" customHeight="true" outlineLevel="0" collapsed="false">
      <c r="A2" s="5" t="s">
        <v>69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70</v>
      </c>
      <c r="B5" s="7" t="s">
        <v>71</v>
      </c>
      <c r="C5" s="7" t="s">
        <v>72</v>
      </c>
      <c r="D5" s="7" t="s">
        <v>73</v>
      </c>
      <c r="E5" s="7" t="s">
        <v>74</v>
      </c>
      <c r="F5" s="7" t="s">
        <v>75</v>
      </c>
    </row>
    <row r="6" customFormat="false" ht="15" hidden="false" customHeight="false" outlineLevel="0" collapsed="false">
      <c r="A6" s="8" t="s">
        <v>76</v>
      </c>
      <c r="B6" s="14" t="n">
        <v>1000</v>
      </c>
      <c r="C6" s="14" t="n">
        <v>1150</v>
      </c>
      <c r="D6" s="11" t="s">
        <v>77</v>
      </c>
      <c r="E6" s="12" t="str">
        <f aca="false">IF(D6="Higher",IF(C6&gt;=B6,"Met","MISSED"),IF(C6&lt;=B6,"Met","MISSED"))</f>
        <v>Met</v>
      </c>
      <c r="F6" s="11" t="s">
        <v>78</v>
      </c>
    </row>
    <row r="7" customFormat="false" ht="15" hidden="false" customHeight="false" outlineLevel="0" collapsed="false">
      <c r="A7" s="8" t="s">
        <v>79</v>
      </c>
      <c r="B7" s="15" t="n">
        <v>0.05</v>
      </c>
      <c r="C7" s="16" t="n">
        <f aca="false">B15/C6</f>
        <v>0.0156521739130435</v>
      </c>
      <c r="D7" s="11" t="s">
        <v>77</v>
      </c>
      <c r="E7" s="12" t="str">
        <f aca="false">IF(D7="Higher",IF(C7&gt;=B7,"Met","MISSED"),IF(C7&lt;=B7,"Met","MISSED"))</f>
        <v>MISSED</v>
      </c>
      <c r="F7" s="11" t="s">
        <v>80</v>
      </c>
    </row>
    <row r="8" customFormat="false" ht="15" hidden="false" customHeight="false" outlineLevel="0" collapsed="false">
      <c r="A8" s="8" t="s">
        <v>81</v>
      </c>
      <c r="B8" s="14" t="n">
        <v>10000</v>
      </c>
      <c r="C8" s="14" t="n">
        <v>7500</v>
      </c>
      <c r="D8" s="11" t="s">
        <v>77</v>
      </c>
      <c r="E8" s="12" t="str">
        <f aca="false">IF(D8="Higher",IF(C8&gt;=B8,"Met","MISSED"),IF(C8&lt;=B8,"Met","MISSED"))</f>
        <v>MISSED</v>
      </c>
      <c r="F8" s="11" t="s">
        <v>82</v>
      </c>
    </row>
    <row r="9" customFormat="false" ht="15" hidden="false" customHeight="false" outlineLevel="0" collapsed="false">
      <c r="A9" s="8" t="s">
        <v>83</v>
      </c>
      <c r="B9" s="14" t="n">
        <v>6000</v>
      </c>
      <c r="C9" s="17" t="n">
        <f aca="false">B16</f>
        <v>22222.2222222222</v>
      </c>
      <c r="D9" s="11" t="s">
        <v>84</v>
      </c>
      <c r="E9" s="12" t="str">
        <f aca="false">IF(D9="Higher",IF(C9&gt;=B9,"Met","MISSED"),IF(C9&lt;=B9,"Met","MISSED"))</f>
        <v>MISSED</v>
      </c>
      <c r="F9" s="11" t="s">
        <v>85</v>
      </c>
    </row>
    <row r="10" customFormat="false" ht="15" hidden="false" customHeight="false" outlineLevel="0" collapsed="false">
      <c r="A10" s="11"/>
      <c r="B10" s="11"/>
      <c r="C10" s="11"/>
      <c r="D10" s="11"/>
      <c r="E10" s="18" t="str">
        <f aca="false">IF(A10="","",IF(D10="Higher",IF(C10&gt;=B10,"Met","MISSED"),IF(C10&lt;=B10,"Met","MISSED")))</f>
        <v/>
      </c>
      <c r="F10" s="11"/>
    </row>
    <row r="11" customFormat="false" ht="15" hidden="false" customHeight="false" outlineLevel="0" collapsed="false">
      <c r="A11" s="11"/>
      <c r="B11" s="11"/>
      <c r="C11" s="11"/>
      <c r="D11" s="11"/>
      <c r="E11" s="18" t="str">
        <f aca="false">IF(A11="","",IF(D11="Higher",IF(C11&gt;=B11,"Met","MISSED"),IF(C11&lt;=B11,"Met","MISSED")))</f>
        <v/>
      </c>
      <c r="F11" s="11"/>
    </row>
    <row r="12" customFormat="false" ht="15" hidden="false" customHeight="false" outlineLevel="0" collapsed="false">
      <c r="A12" s="11"/>
      <c r="B12" s="11"/>
      <c r="C12" s="11"/>
      <c r="D12" s="11"/>
      <c r="E12" s="18" t="str">
        <f aca="false">IF(A12="","",IF(D12="Higher",IF(C12&gt;=B12,"Met","MISSED"),IF(C12&lt;=B12,"Met","MISSED")))</f>
        <v/>
      </c>
      <c r="F12" s="11"/>
    </row>
    <row r="14" customFormat="false" ht="15" hidden="false" customHeight="false" outlineLevel="0" collapsed="false">
      <c r="A14" s="8" t="s">
        <v>86</v>
      </c>
      <c r="B14" s="19" t="n">
        <v>400000</v>
      </c>
    </row>
    <row r="15" customFormat="false" ht="15" hidden="false" customHeight="false" outlineLevel="0" collapsed="false">
      <c r="A15" s="8" t="s">
        <v>87</v>
      </c>
      <c r="B15" s="14" t="n">
        <v>18</v>
      </c>
    </row>
    <row r="16" customFormat="false" ht="15" hidden="false" customHeight="false" outlineLevel="0" collapsed="false">
      <c r="A16" s="12" t="s">
        <v>88</v>
      </c>
      <c r="B16" s="20" t="n">
        <f aca="false">IF(B15&gt;0,B14/B15,0)</f>
        <v>22222.2222222222</v>
      </c>
    </row>
    <row r="18" customFormat="false" ht="15" hidden="false" customHeight="false" outlineLevel="0" collapsed="false">
      <c r="A18" s="12" t="s">
        <v>89</v>
      </c>
      <c r="B18" s="13" t="n">
        <f aca="false">COUNTIF(E6:E12,"MISSED")</f>
        <v>3</v>
      </c>
    </row>
    <row r="19" customFormat="false" ht="15" hidden="false" customHeight="false" outlineLevel="0" collapsed="false">
      <c r="A19" s="12" t="s">
        <v>90</v>
      </c>
      <c r="B19" s="12" t="str">
        <f aca="false">IF(B18=0,"Continue",IF(B18&gt;=2,"Stop or redesign: hold the decision meeting","Rework the weak assumption and re-test"))</f>
        <v>Stop or redesign: hold the decision meeting</v>
      </c>
      <c r="C19" s="12"/>
      <c r="D19" s="12"/>
      <c r="E19" s="12"/>
      <c r="F19" s="12"/>
    </row>
    <row r="20" customFormat="false" ht="15" hidden="false" customHeight="false" outlineLevel="0" collapsed="false">
      <c r="A20" s="8" t="s">
        <v>91</v>
      </c>
      <c r="B20" s="19" t="n">
        <v>4500000</v>
      </c>
    </row>
    <row r="21" customFormat="false" ht="15" hidden="false" customHeight="false" outlineLevel="0" collapsed="false">
      <c r="A21" s="8" t="s">
        <v>92</v>
      </c>
      <c r="B21" s="19" t="n">
        <v>13500000</v>
      </c>
    </row>
    <row r="22" customFormat="false" ht="15" hidden="false" customHeight="false" outlineLevel="0" collapsed="false">
      <c r="A22" s="12" t="s">
        <v>93</v>
      </c>
      <c r="B22" s="20" t="n">
        <f aca="false">B21</f>
        <v>13500000</v>
      </c>
    </row>
  </sheetData>
  <mergeCells count="3">
    <mergeCell ref="A2:G2"/>
    <mergeCell ref="A3:G3"/>
    <mergeCell ref="B19:F19"/>
  </mergeCells>
  <dataValidations count="1">
    <dataValidation allowBlank="true" errorStyle="stop" operator="between" showDropDown="false" showErrorMessage="false" showInputMessage="false" sqref="D6:D12" type="list">
      <formula1>"Higher,Lower"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4" t="s">
        <v>94</v>
      </c>
    </row>
    <row r="2" customFormat="false" ht="42" hidden="false" customHeight="true" outlineLevel="0" collapsed="false">
      <c r="A2" s="5" t="s">
        <v>95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96</v>
      </c>
      <c r="B5" s="7" t="s">
        <v>97</v>
      </c>
      <c r="C5" s="7" t="s">
        <v>98</v>
      </c>
      <c r="D5" s="7" t="s">
        <v>99</v>
      </c>
    </row>
    <row r="6" customFormat="false" ht="15" hidden="false" customHeight="false" outlineLevel="0" collapsed="false">
      <c r="A6" s="8" t="s">
        <v>100</v>
      </c>
      <c r="B6" s="19" t="n">
        <v>100000</v>
      </c>
      <c r="C6" s="19" t="n">
        <v>90000</v>
      </c>
      <c r="D6" s="19" t="n">
        <v>110000</v>
      </c>
    </row>
    <row r="7" customFormat="false" ht="15" hidden="false" customHeight="false" outlineLevel="0" collapsed="false">
      <c r="A7" s="8" t="s">
        <v>101</v>
      </c>
      <c r="B7" s="15" t="n">
        <v>0</v>
      </c>
      <c r="C7" s="15" t="n">
        <v>0</v>
      </c>
      <c r="D7" s="15" t="n">
        <v>0</v>
      </c>
    </row>
    <row r="8" customFormat="false" ht="15" hidden="false" customHeight="false" outlineLevel="0" collapsed="false">
      <c r="A8" s="8" t="s">
        <v>102</v>
      </c>
      <c r="B8" s="19" t="n">
        <v>35000</v>
      </c>
      <c r="C8" s="19" t="n">
        <v>35000</v>
      </c>
      <c r="D8" s="19" t="n">
        <v>33000</v>
      </c>
    </row>
    <row r="9" customFormat="false" ht="15" hidden="false" customHeight="false" outlineLevel="0" collapsed="false">
      <c r="A9" s="8" t="s">
        <v>103</v>
      </c>
      <c r="B9" s="19" t="n">
        <v>5000</v>
      </c>
      <c r="C9" s="19" t="n">
        <v>5000</v>
      </c>
      <c r="D9" s="19" t="n">
        <v>5000</v>
      </c>
    </row>
    <row r="10" customFormat="false" ht="15" hidden="false" customHeight="false" outlineLevel="0" collapsed="false">
      <c r="A10" s="8" t="s">
        <v>104</v>
      </c>
      <c r="B10" s="19" t="n">
        <v>20000</v>
      </c>
      <c r="C10" s="19" t="n">
        <v>30000</v>
      </c>
      <c r="D10" s="19" t="n">
        <v>18000</v>
      </c>
    </row>
    <row r="11" customFormat="false" ht="15" hidden="false" customHeight="false" outlineLevel="0" collapsed="false">
      <c r="A11" s="8" t="s">
        <v>105</v>
      </c>
      <c r="B11" s="19" t="n">
        <v>0</v>
      </c>
      <c r="C11" s="19" t="n">
        <v>0</v>
      </c>
      <c r="D11" s="19" t="n">
        <v>0</v>
      </c>
    </row>
    <row r="12" customFormat="false" ht="15" hidden="false" customHeight="false" outlineLevel="0" collapsed="false">
      <c r="A12" s="12" t="s">
        <v>106</v>
      </c>
      <c r="B12" s="20" t="n">
        <f aca="false">B6*(1-B7)</f>
        <v>100000</v>
      </c>
      <c r="C12" s="20" t="n">
        <f aca="false">C6*(1-C7)</f>
        <v>90000</v>
      </c>
      <c r="D12" s="20" t="n">
        <f aca="false">D6*(1-D7)</f>
        <v>110000</v>
      </c>
    </row>
    <row r="13" customFormat="false" ht="15" hidden="false" customHeight="false" outlineLevel="0" collapsed="false">
      <c r="A13" s="12" t="s">
        <v>107</v>
      </c>
      <c r="B13" s="20" t="n">
        <f aca="false">B12-B8-B9-B10</f>
        <v>40000</v>
      </c>
      <c r="C13" s="20" t="n">
        <f aca="false">C12-C8-C9-C10</f>
        <v>20000</v>
      </c>
      <c r="D13" s="20" t="n">
        <f aca="false">D12-D8-D9-D10</f>
        <v>54000</v>
      </c>
    </row>
    <row r="14" customFormat="false" ht="15" hidden="false" customHeight="false" outlineLevel="0" collapsed="false">
      <c r="A14" s="12" t="s">
        <v>108</v>
      </c>
      <c r="B14" s="20" t="n">
        <f aca="false">B13-B11</f>
        <v>40000</v>
      </c>
      <c r="C14" s="20" t="n">
        <f aca="false">C13-C11</f>
        <v>20000</v>
      </c>
      <c r="D14" s="20" t="n">
        <f aca="false">D13-D11</f>
        <v>54000</v>
      </c>
    </row>
    <row r="15" customFormat="false" ht="15" hidden="false" customHeight="false" outlineLevel="0" collapsed="false">
      <c r="A15" s="8" t="s">
        <v>109</v>
      </c>
      <c r="B15" s="19" t="n">
        <v>4000000</v>
      </c>
      <c r="C15" s="19" t="n">
        <v>4000000</v>
      </c>
      <c r="D15" s="19" t="n">
        <v>4000000</v>
      </c>
    </row>
    <row r="16" customFormat="false" ht="15" hidden="false" customHeight="false" outlineLevel="0" collapsed="false">
      <c r="A16" s="12" t="s">
        <v>110</v>
      </c>
      <c r="B16" s="21" t="n">
        <f aca="false">IF(B14&gt;0,B15/B14,"No break-even")</f>
        <v>100</v>
      </c>
      <c r="C16" s="21" t="n">
        <f aca="false">IF(C14&gt;0,C15/C14,"No break-even")</f>
        <v>200</v>
      </c>
      <c r="D16" s="21" t="n">
        <f aca="false">IF(D14&gt;0,D15/D14,"No break-even")</f>
        <v>74.0740740740741</v>
      </c>
    </row>
    <row r="18" customFormat="false" ht="15" hidden="false" customHeight="false" outlineLevel="0" collapsed="false">
      <c r="A18" s="12" t="s">
        <v>111</v>
      </c>
    </row>
    <row r="19" customFormat="false" ht="15" hidden="false" customHeight="false" outlineLevel="0" collapsed="false">
      <c r="A19" s="8" t="s">
        <v>112</v>
      </c>
      <c r="B19" s="19" t="n">
        <v>10000000</v>
      </c>
    </row>
    <row r="20" customFormat="false" ht="15" hidden="false" customHeight="false" outlineLevel="0" collapsed="false">
      <c r="A20" s="8" t="s">
        <v>113</v>
      </c>
      <c r="B20" s="9" t="n">
        <v>45</v>
      </c>
    </row>
    <row r="21" customFormat="false" ht="15" hidden="false" customHeight="false" outlineLevel="0" collapsed="false">
      <c r="A21" s="8" t="s">
        <v>114</v>
      </c>
      <c r="B21" s="9" t="n">
        <v>7</v>
      </c>
    </row>
    <row r="22" customFormat="false" ht="15" hidden="false" customHeight="false" outlineLevel="0" collapsed="false">
      <c r="A22" s="12" t="s">
        <v>115</v>
      </c>
      <c r="B22" s="20" t="n">
        <f aca="false">B19*MAX(B20-B21,0)/30</f>
        <v>12666666.6666667</v>
      </c>
    </row>
    <row r="24" customFormat="false" ht="15" hidden="false" customHeight="false" outlineLevel="0" collapsed="false">
      <c r="A24" s="12" t="s">
        <v>116</v>
      </c>
    </row>
    <row r="25" customFormat="false" ht="15" hidden="false" customHeight="false" outlineLevel="0" collapsed="false">
      <c r="A25" s="8" t="s">
        <v>117</v>
      </c>
      <c r="B25" s="15" t="n">
        <v>0</v>
      </c>
      <c r="C25" s="15" t="n">
        <v>0.25</v>
      </c>
      <c r="D25" s="15" t="n">
        <v>0.5</v>
      </c>
      <c r="E25" s="15" t="n">
        <v>1</v>
      </c>
    </row>
    <row r="26" customFormat="false" ht="15" hidden="false" customHeight="false" outlineLevel="0" collapsed="false">
      <c r="A26" s="15" t="n">
        <v>-0.2</v>
      </c>
      <c r="B26" s="22" t="n">
        <f aca="false">IF(($B$6*(1+$A26)*(1-$B$7)-$B$8-$B$9-$B$10*(1+B$25)-$B$11)&gt;0,$B$15/($B$6*(1+$A26)*(1-$B$7)-$B$8-$B$9-$B$10*(1+B$25)-$B$11),"No break-even")</f>
        <v>200</v>
      </c>
      <c r="C26" s="22" t="n">
        <f aca="false">IF(($B$6*(1+$A26)*(1-$B$7)-$B$8-$B$9-$B$10*(1+C$25)-$B$11)&gt;0,$B$15/($B$6*(1+$A26)*(1-$B$7)-$B$8-$B$9-$B$10*(1+C$25)-$B$11),"No break-even")</f>
        <v>266.666666666667</v>
      </c>
      <c r="D26" s="22" t="n">
        <f aca="false">IF(($B$6*(1+$A26)*(1-$B$7)-$B$8-$B$9-$B$10*(1+D$25)-$B$11)&gt;0,$B$15/($B$6*(1+$A26)*(1-$B$7)-$B$8-$B$9-$B$10*(1+D$25)-$B$11),"No break-even")</f>
        <v>400</v>
      </c>
      <c r="E26" s="22" t="str">
        <f aca="false">IF(($B$6*(1+$A26)*(1-$B$7)-$B$8-$B$9-$B$10*(1+E$25)-$B$11)&gt;0,$B$15/($B$6*(1+$A26)*(1-$B$7)-$B$8-$B$9-$B$10*(1+E$25)-$B$11),"No break-even")</f>
        <v>No break-even</v>
      </c>
    </row>
    <row r="27" customFormat="false" ht="15" hidden="false" customHeight="false" outlineLevel="0" collapsed="false">
      <c r="A27" s="15" t="n">
        <v>-0.1</v>
      </c>
      <c r="B27" s="22" t="n">
        <f aca="false">IF(($B$6*(1+$A27)*(1-$B$7)-$B$8-$B$9-$B$10*(1+B$25)-$B$11)&gt;0,$B$15/($B$6*(1+$A27)*(1-$B$7)-$B$8-$B$9-$B$10*(1+B$25)-$B$11),"No break-even")</f>
        <v>133.333333333333</v>
      </c>
      <c r="C27" s="22" t="n">
        <f aca="false">IF(($B$6*(1+$A27)*(1-$B$7)-$B$8-$B$9-$B$10*(1+C$25)-$B$11)&gt;0,$B$15/($B$6*(1+$A27)*(1-$B$7)-$B$8-$B$9-$B$10*(1+C$25)-$B$11),"No break-even")</f>
        <v>160</v>
      </c>
      <c r="D27" s="22" t="n">
        <f aca="false">IF(($B$6*(1+$A27)*(1-$B$7)-$B$8-$B$9-$B$10*(1+D$25)-$B$11)&gt;0,$B$15/($B$6*(1+$A27)*(1-$B$7)-$B$8-$B$9-$B$10*(1+D$25)-$B$11),"No break-even")</f>
        <v>200</v>
      </c>
      <c r="E27" s="22" t="n">
        <f aca="false">IF(($B$6*(1+$A27)*(1-$B$7)-$B$8-$B$9-$B$10*(1+E$25)-$B$11)&gt;0,$B$15/($B$6*(1+$A27)*(1-$B$7)-$B$8-$B$9-$B$10*(1+E$25)-$B$11),"No break-even")</f>
        <v>400</v>
      </c>
    </row>
    <row r="28" customFormat="false" ht="15" hidden="false" customHeight="false" outlineLevel="0" collapsed="false">
      <c r="A28" s="15" t="n">
        <v>0</v>
      </c>
      <c r="B28" s="22" t="n">
        <f aca="false">IF(($B$6*(1+$A28)*(1-$B$7)-$B$8-$B$9-$B$10*(1+B$25)-$B$11)&gt;0,$B$15/($B$6*(1+$A28)*(1-$B$7)-$B$8-$B$9-$B$10*(1+B$25)-$B$11),"No break-even")</f>
        <v>100</v>
      </c>
      <c r="C28" s="22" t="n">
        <f aca="false">IF(($B$6*(1+$A28)*(1-$B$7)-$B$8-$B$9-$B$10*(1+C$25)-$B$11)&gt;0,$B$15/($B$6*(1+$A28)*(1-$B$7)-$B$8-$B$9-$B$10*(1+C$25)-$B$11),"No break-even")</f>
        <v>114.285714285714</v>
      </c>
      <c r="D28" s="22" t="n">
        <f aca="false">IF(($B$6*(1+$A28)*(1-$B$7)-$B$8-$B$9-$B$10*(1+D$25)-$B$11)&gt;0,$B$15/($B$6*(1+$A28)*(1-$B$7)-$B$8-$B$9-$B$10*(1+D$25)-$B$11),"No break-even")</f>
        <v>133.333333333333</v>
      </c>
      <c r="E28" s="22" t="n">
        <f aca="false">IF(($B$6*(1+$A28)*(1-$B$7)-$B$8-$B$9-$B$10*(1+E$25)-$B$11)&gt;0,$B$15/($B$6*(1+$A28)*(1-$B$7)-$B$8-$B$9-$B$10*(1+E$25)-$B$11),"No break-even")</f>
        <v>200</v>
      </c>
    </row>
    <row r="29" customFormat="false" ht="15" hidden="false" customHeight="false" outlineLevel="0" collapsed="false">
      <c r="A29" s="15" t="n">
        <v>0.1</v>
      </c>
      <c r="B29" s="22" t="n">
        <f aca="false">IF(($B$6*(1+$A29)*(1-$B$7)-$B$8-$B$9-$B$10*(1+B$25)-$B$11)&gt;0,$B$15/($B$6*(1+$A29)*(1-$B$7)-$B$8-$B$9-$B$10*(1+B$25)-$B$11),"No break-even")</f>
        <v>80</v>
      </c>
      <c r="C29" s="22" t="n">
        <f aca="false">IF(($B$6*(1+$A29)*(1-$B$7)-$B$8-$B$9-$B$10*(1+C$25)-$B$11)&gt;0,$B$15/($B$6*(1+$A29)*(1-$B$7)-$B$8-$B$9-$B$10*(1+C$25)-$B$11),"No break-even")</f>
        <v>88.8888888888889</v>
      </c>
      <c r="D29" s="22" t="n">
        <f aca="false">IF(($B$6*(1+$A29)*(1-$B$7)-$B$8-$B$9-$B$10*(1+D$25)-$B$11)&gt;0,$B$15/($B$6*(1+$A29)*(1-$B$7)-$B$8-$B$9-$B$10*(1+D$25)-$B$11),"No break-even")</f>
        <v>100</v>
      </c>
      <c r="E29" s="22" t="n">
        <f aca="false">IF(($B$6*(1+$A29)*(1-$B$7)-$B$8-$B$9-$B$10*(1+E$25)-$B$11)&gt;0,$B$15/($B$6*(1+$A29)*(1-$B$7)-$B$8-$B$9-$B$10*(1+E$25)-$B$11),"No break-even")</f>
        <v>133.333333333333</v>
      </c>
    </row>
  </sheetData>
  <mergeCells count="2"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4" t="s">
        <v>118</v>
      </c>
    </row>
    <row r="2" customFormat="false" ht="42" hidden="false" customHeight="true" outlineLevel="0" collapsed="false">
      <c r="A2" s="5" t="s">
        <v>119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8" t="s">
        <v>120</v>
      </c>
      <c r="B5" s="14" t="n">
        <v>100</v>
      </c>
    </row>
    <row r="6" customFormat="false" ht="15" hidden="false" customHeight="false" outlineLevel="0" collapsed="false">
      <c r="A6" s="8" t="s">
        <v>121</v>
      </c>
      <c r="B6" s="19" t="n">
        <v>10000000</v>
      </c>
    </row>
    <row r="7" customFormat="false" ht="15" hidden="false" customHeight="false" outlineLevel="0" collapsed="false">
      <c r="A7" s="8" t="s">
        <v>122</v>
      </c>
      <c r="B7" s="19" t="n">
        <v>150000</v>
      </c>
    </row>
    <row r="8" customFormat="false" ht="15" hidden="false" customHeight="false" outlineLevel="0" collapsed="false">
      <c r="A8" s="8" t="s">
        <v>123</v>
      </c>
      <c r="B8" s="19" t="n">
        <v>20000</v>
      </c>
    </row>
    <row r="9" customFormat="false" ht="15" hidden="false" customHeight="false" outlineLevel="0" collapsed="false">
      <c r="A9" s="8" t="s">
        <v>124</v>
      </c>
      <c r="B9" s="15" t="n">
        <v>0.85</v>
      </c>
    </row>
    <row r="11" customFormat="false" ht="15" hidden="false" customHeight="false" outlineLevel="0" collapsed="false">
      <c r="A11" s="12" t="s">
        <v>125</v>
      </c>
      <c r="B11" s="20" t="n">
        <f aca="false">B7-B8</f>
        <v>130000</v>
      </c>
    </row>
    <row r="12" customFormat="false" ht="15" hidden="false" customHeight="false" outlineLevel="0" collapsed="false">
      <c r="A12" s="12" t="s">
        <v>126</v>
      </c>
      <c r="B12" s="21" t="n">
        <f aca="false">B6/B11</f>
        <v>76.9230769230769</v>
      </c>
    </row>
    <row r="13" customFormat="false" ht="15" hidden="false" customHeight="false" outlineLevel="0" collapsed="false">
      <c r="A13" s="12" t="s">
        <v>127</v>
      </c>
      <c r="B13" s="23" t="n">
        <f aca="false">B12/B5</f>
        <v>0.769230769230769</v>
      </c>
    </row>
    <row r="14" customFormat="false" ht="15" hidden="false" customHeight="false" outlineLevel="0" collapsed="false">
      <c r="A14" s="12" t="s">
        <v>128</v>
      </c>
      <c r="B14" s="21" t="n">
        <f aca="false">B5*B9</f>
        <v>85</v>
      </c>
    </row>
    <row r="15" customFormat="false" ht="15" hidden="false" customHeight="false" outlineLevel="0" collapsed="false">
      <c r="A15" s="12" t="s">
        <v>129</v>
      </c>
      <c r="B15" s="20" t="n">
        <f aca="false">B14*B11</f>
        <v>11050000</v>
      </c>
    </row>
    <row r="16" customFormat="false" ht="15" hidden="false" customHeight="false" outlineLevel="0" collapsed="false">
      <c r="A16" s="12" t="s">
        <v>130</v>
      </c>
      <c r="B16" s="20" t="n">
        <f aca="false">B15-B6</f>
        <v>1050000</v>
      </c>
    </row>
    <row r="17" customFormat="false" ht="15" hidden="false" customHeight="false" outlineLevel="0" collapsed="false">
      <c r="A17" s="12" t="s">
        <v>131</v>
      </c>
      <c r="B17" s="23" t="n">
        <f aca="false">B9*0.75</f>
        <v>0.6375</v>
      </c>
    </row>
    <row r="18" customFormat="false" ht="15" hidden="false" customHeight="false" outlineLevel="0" collapsed="false">
      <c r="A18" s="12" t="s">
        <v>132</v>
      </c>
      <c r="B18" s="20" t="n">
        <f aca="false">B5*B17*B11-B6</f>
        <v>-1712500</v>
      </c>
    </row>
    <row r="19" customFormat="false" ht="15" hidden="false" customHeight="false" outlineLevel="0" collapsed="false">
      <c r="A19" s="12" t="s">
        <v>133</v>
      </c>
      <c r="B19" s="20" t="n">
        <f aca="false">B9*B7</f>
        <v>127500</v>
      </c>
    </row>
    <row r="20" customFormat="false" ht="15" hidden="false" customHeight="false" outlineLevel="0" collapsed="false">
      <c r="A20" s="12" t="s">
        <v>134</v>
      </c>
      <c r="B20" s="23" t="n">
        <f aca="false">B9-B13</f>
        <v>0.0807692307692308</v>
      </c>
    </row>
    <row r="22" customFormat="false" ht="15" hidden="false" customHeight="false" outlineLevel="0" collapsed="false">
      <c r="A22" s="12" t="s">
        <v>135</v>
      </c>
      <c r="B22" s="12" t="str">
        <f aca="false">IF(B13&gt;0.7,"Fragile: break-even above 70% leaves little room","Comfortable if demand is realistic")</f>
        <v>Fragile: break-even above 70% leaves little room</v>
      </c>
      <c r="C22" s="12"/>
      <c r="D22" s="12"/>
    </row>
    <row r="24" customFormat="false" ht="15" hidden="false" customHeight="false" outlineLevel="0" collapsed="false">
      <c r="A24" s="7" t="s">
        <v>136</v>
      </c>
      <c r="B24" s="7" t="s">
        <v>137</v>
      </c>
      <c r="C24" s="7" t="s">
        <v>138</v>
      </c>
      <c r="D24" s="7" t="s">
        <v>139</v>
      </c>
    </row>
    <row r="25" customFormat="false" ht="15" hidden="false" customHeight="false" outlineLevel="0" collapsed="false">
      <c r="A25" s="8" t="s">
        <v>140</v>
      </c>
      <c r="B25" s="15" t="n">
        <v>0.55</v>
      </c>
      <c r="C25" s="22" t="n">
        <f aca="false">B25*$B$5</f>
        <v>55</v>
      </c>
      <c r="D25" s="11" t="s">
        <v>141</v>
      </c>
    </row>
    <row r="26" customFormat="false" ht="15" hidden="false" customHeight="false" outlineLevel="0" collapsed="false">
      <c r="A26" s="8" t="s">
        <v>142</v>
      </c>
      <c r="B26" s="15" t="n">
        <v>0.3</v>
      </c>
      <c r="C26" s="22" t="n">
        <f aca="false">B26*$B$5</f>
        <v>30</v>
      </c>
      <c r="D26" s="11" t="s">
        <v>143</v>
      </c>
    </row>
    <row r="27" customFormat="false" ht="15" hidden="false" customHeight="false" outlineLevel="0" collapsed="false">
      <c r="A27" s="8" t="s">
        <v>144</v>
      </c>
      <c r="B27" s="15" t="n">
        <v>0.15</v>
      </c>
      <c r="C27" s="22" t="n">
        <f aca="false">B27*$B$5</f>
        <v>15</v>
      </c>
      <c r="D27" s="11" t="s">
        <v>145</v>
      </c>
    </row>
    <row r="28" customFormat="false" ht="15" hidden="false" customHeight="false" outlineLevel="0" collapsed="false">
      <c r="A28" s="12" t="s">
        <v>146</v>
      </c>
      <c r="B28" s="23" t="n">
        <f aca="false">SUM(B25:B27)</f>
        <v>1</v>
      </c>
      <c r="C28" s="12" t="str">
        <f aca="false">IF(ROUND(B28,4)=1,"OK","Shares must add to 100%")</f>
        <v>OK</v>
      </c>
    </row>
    <row r="30" customFormat="false" ht="15" hidden="false" customHeight="false" outlineLevel="0" collapsed="false">
      <c r="A30" s="8" t="s">
        <v>147</v>
      </c>
    </row>
  </sheetData>
  <mergeCells count="3">
    <mergeCell ref="A2:G2"/>
    <mergeCell ref="A3:G3"/>
    <mergeCell ref="B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7" min="3" style="0" width="18"/>
    <col collapsed="false" customWidth="true" hidden="false" outlineLevel="0" max="8" min="8" style="0" width="20"/>
  </cols>
  <sheetData>
    <row r="1" customFormat="false" ht="17.35" hidden="false" customHeight="false" outlineLevel="0" collapsed="false">
      <c r="A1" s="4" t="s">
        <v>148</v>
      </c>
    </row>
    <row r="2" customFormat="false" ht="42" hidden="false" customHeight="true" outlineLevel="0" collapsed="false">
      <c r="A2" s="5" t="s">
        <v>149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8" t="s">
        <v>150</v>
      </c>
      <c r="B5" s="19" t="n">
        <v>850000</v>
      </c>
    </row>
    <row r="6" customFormat="false" ht="15" hidden="false" customHeight="false" outlineLevel="0" collapsed="false">
      <c r="A6" s="8" t="s">
        <v>151</v>
      </c>
      <c r="B6" s="9" t="n">
        <v>30</v>
      </c>
    </row>
    <row r="7" customFormat="false" ht="15" hidden="false" customHeight="false" outlineLevel="0" collapsed="false">
      <c r="A7" s="8" t="s">
        <v>152</v>
      </c>
      <c r="B7" s="15" t="n">
        <v>0.4</v>
      </c>
    </row>
    <row r="8" customFormat="false" ht="15" hidden="false" customHeight="false" outlineLevel="0" collapsed="false">
      <c r="A8" s="8" t="s">
        <v>153</v>
      </c>
      <c r="B8" s="15" t="n">
        <v>0.45</v>
      </c>
    </row>
    <row r="9" customFormat="false" ht="15" hidden="false" customHeight="false" outlineLevel="0" collapsed="false">
      <c r="A9" s="8" t="s">
        <v>154</v>
      </c>
      <c r="B9" s="15" t="n">
        <v>0.15</v>
      </c>
    </row>
    <row r="10" customFormat="false" ht="15" hidden="false" customHeight="false" outlineLevel="0" collapsed="false">
      <c r="A10" s="12" t="s">
        <v>155</v>
      </c>
      <c r="B10" s="23" t="n">
        <f aca="false">SUM(B7:B9)</f>
        <v>1</v>
      </c>
      <c r="C10" s="12" t="str">
        <f aca="false">IF(ROUND(B10,4)=1,"OK","Shares must add to 100%")</f>
        <v>OK</v>
      </c>
    </row>
    <row r="11" customFormat="false" ht="15" hidden="false" customHeight="false" outlineLevel="0" collapsed="false">
      <c r="A11" s="8" t="s">
        <v>156</v>
      </c>
      <c r="B11" s="19" t="n">
        <v>6500000</v>
      </c>
    </row>
    <row r="12" customFormat="false" ht="15" hidden="false" customHeight="false" outlineLevel="0" collapsed="false">
      <c r="A12" s="8" t="s">
        <v>157</v>
      </c>
      <c r="B12" s="19" t="n">
        <v>400000000</v>
      </c>
    </row>
    <row r="14" customFormat="false" ht="23.85" hidden="false" customHeight="false" outlineLevel="0" collapsed="false">
      <c r="A14" s="7" t="s">
        <v>158</v>
      </c>
      <c r="B14" s="7" t="s">
        <v>159</v>
      </c>
      <c r="C14" s="7" t="s">
        <v>160</v>
      </c>
      <c r="D14" s="7" t="s">
        <v>161</v>
      </c>
      <c r="E14" s="7" t="s">
        <v>162</v>
      </c>
      <c r="F14" s="7" t="s">
        <v>163</v>
      </c>
      <c r="G14" s="7" t="s">
        <v>164</v>
      </c>
      <c r="H14" s="7" t="s">
        <v>165</v>
      </c>
    </row>
    <row r="15" customFormat="false" ht="15" hidden="false" customHeight="false" outlineLevel="0" collapsed="false">
      <c r="A15" s="15" t="n">
        <v>0.9</v>
      </c>
      <c r="B15" s="22" t="n">
        <f aca="false">$B$6*A15</f>
        <v>27</v>
      </c>
      <c r="C15" s="24" t="n">
        <f aca="false">B15*$B$5</f>
        <v>22950000</v>
      </c>
      <c r="D15" s="24" t="n">
        <f aca="false">C15*$B$7</f>
        <v>9180000</v>
      </c>
      <c r="E15" s="24" t="n">
        <f aca="false">C15*$B$8</f>
        <v>10327500</v>
      </c>
      <c r="F15" s="24" t="n">
        <f aca="false">E15-$B$11</f>
        <v>3827500</v>
      </c>
      <c r="G15" s="24" t="n">
        <f aca="false">C15*$B$9</f>
        <v>3442500</v>
      </c>
      <c r="H15" s="22" t="n">
        <f aca="false">IF(D15&gt;0,$B$12/D15,"n/a")</f>
        <v>43.5729847494553</v>
      </c>
    </row>
    <row r="16" customFormat="false" ht="15" hidden="false" customHeight="false" outlineLevel="0" collapsed="false">
      <c r="A16" s="15" t="n">
        <v>0.8</v>
      </c>
      <c r="B16" s="22" t="n">
        <f aca="false">$B$6*A16</f>
        <v>24</v>
      </c>
      <c r="C16" s="24" t="n">
        <f aca="false">B16*$B$5</f>
        <v>20400000</v>
      </c>
      <c r="D16" s="24" t="n">
        <f aca="false">C16*$B$7</f>
        <v>8160000</v>
      </c>
      <c r="E16" s="24" t="n">
        <f aca="false">C16*$B$8</f>
        <v>9180000</v>
      </c>
      <c r="F16" s="24" t="n">
        <f aca="false">E16-$B$11</f>
        <v>2680000</v>
      </c>
      <c r="G16" s="24" t="n">
        <f aca="false">C16*$B$9</f>
        <v>3060000</v>
      </c>
      <c r="H16" s="22" t="n">
        <f aca="false">IF(D16&gt;0,$B$12/D16,"n/a")</f>
        <v>49.0196078431373</v>
      </c>
    </row>
    <row r="17" customFormat="false" ht="15" hidden="false" customHeight="false" outlineLevel="0" collapsed="false">
      <c r="A17" s="15" t="n">
        <v>0.7</v>
      </c>
      <c r="B17" s="22" t="n">
        <f aca="false">$B$6*A17</f>
        <v>21</v>
      </c>
      <c r="C17" s="24" t="n">
        <f aca="false">B17*$B$5</f>
        <v>17850000</v>
      </c>
      <c r="D17" s="24" t="n">
        <f aca="false">C17*$B$7</f>
        <v>7140000</v>
      </c>
      <c r="E17" s="24" t="n">
        <f aca="false">C17*$B$8</f>
        <v>8032500</v>
      </c>
      <c r="F17" s="24" t="n">
        <f aca="false">E17-$B$11</f>
        <v>1532500</v>
      </c>
      <c r="G17" s="24" t="n">
        <f aca="false">C17*$B$9</f>
        <v>2677500</v>
      </c>
      <c r="H17" s="22" t="n">
        <f aca="false">IF(D17&gt;0,$B$12/D17,"n/a")</f>
        <v>56.0224089635854</v>
      </c>
    </row>
    <row r="18" customFormat="false" ht="15" hidden="false" customHeight="false" outlineLevel="0" collapsed="false">
      <c r="A18" s="15" t="n">
        <v>0.6</v>
      </c>
      <c r="B18" s="22" t="n">
        <f aca="false">$B$6*A18</f>
        <v>18</v>
      </c>
      <c r="C18" s="24" t="n">
        <f aca="false">B18*$B$5</f>
        <v>15300000</v>
      </c>
      <c r="D18" s="24" t="n">
        <f aca="false">C18*$B$7</f>
        <v>6120000</v>
      </c>
      <c r="E18" s="24" t="n">
        <f aca="false">C18*$B$8</f>
        <v>6885000</v>
      </c>
      <c r="F18" s="24" t="n">
        <f aca="false">E18-$B$11</f>
        <v>385000</v>
      </c>
      <c r="G18" s="24" t="n">
        <f aca="false">C18*$B$9</f>
        <v>2295000</v>
      </c>
      <c r="H18" s="22" t="n">
        <f aca="false">IF(D18&gt;0,$B$12/D18,"n/a")</f>
        <v>65.359477124183</v>
      </c>
    </row>
    <row r="19" customFormat="false" ht="15" hidden="false" customHeight="false" outlineLevel="0" collapsed="false">
      <c r="A19" s="15" t="n">
        <v>0.5</v>
      </c>
      <c r="B19" s="22" t="n">
        <f aca="false">$B$6*A19</f>
        <v>15</v>
      </c>
      <c r="C19" s="24" t="n">
        <f aca="false">B19*$B$5</f>
        <v>12750000</v>
      </c>
      <c r="D19" s="24" t="n">
        <f aca="false">C19*$B$7</f>
        <v>5100000</v>
      </c>
      <c r="E19" s="24" t="n">
        <f aca="false">C19*$B$8</f>
        <v>5737500</v>
      </c>
      <c r="F19" s="24" t="n">
        <f aca="false">E19-$B$11</f>
        <v>-762500</v>
      </c>
      <c r="G19" s="24" t="n">
        <f aca="false">C19*$B$9</f>
        <v>1912500</v>
      </c>
      <c r="H19" s="22" t="n">
        <f aca="false">IF(D19&gt;0,$B$12/D19,"n/a")</f>
        <v>78.4313725490196</v>
      </c>
    </row>
    <row r="21" customFormat="false" ht="15" hidden="false" customHeight="false" outlineLevel="0" collapsed="false">
      <c r="A21" s="12" t="s">
        <v>166</v>
      </c>
      <c r="B21" s="23" t="n">
        <f aca="false">IF($B$8*$B$5*$B$6&gt;0,$B$11/($B$8*$B$5*$B$6),0)</f>
        <v>0.566448801742919</v>
      </c>
    </row>
    <row r="22" customFormat="false" ht="15" hidden="false" customHeight="false" outlineLevel="0" collapsed="false">
      <c r="A22" s="12" t="s">
        <v>167</v>
      </c>
      <c r="B22" s="12" t="str">
        <f aca="false">IF(B21&gt;0.5,"The operator: consider a cost floor, sliding share, bonus, or step-in right","Review the downside rows")</f>
        <v>The operator: consider a cost floor, sliding share, bonus, or step-in right</v>
      </c>
      <c r="C22" s="12"/>
      <c r="D22" s="12"/>
      <c r="E22" s="12"/>
      <c r="F22" s="12"/>
      <c r="G22" s="12"/>
      <c r="H22" s="12"/>
    </row>
  </sheetData>
  <mergeCells count="3">
    <mergeCell ref="A2:G2"/>
    <mergeCell ref="A3:G3"/>
    <mergeCell ref="B22:H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20"/>
  </cols>
  <sheetData>
    <row r="1" customFormat="false" ht="17.35" hidden="false" customHeight="false" outlineLevel="0" collapsed="false">
      <c r="A1" s="4" t="s">
        <v>168</v>
      </c>
    </row>
    <row r="2" customFormat="false" ht="42" hidden="false" customHeight="true" outlineLevel="0" collapsed="false">
      <c r="A2" s="5" t="s">
        <v>169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170</v>
      </c>
      <c r="B5" s="7" t="s">
        <v>171</v>
      </c>
      <c r="C5" s="7" t="s">
        <v>172</v>
      </c>
      <c r="D5" s="7" t="s">
        <v>173</v>
      </c>
    </row>
    <row r="6" customFormat="false" ht="15" hidden="false" customHeight="false" outlineLevel="0" collapsed="false">
      <c r="A6" s="11" t="s">
        <v>174</v>
      </c>
      <c r="B6" s="19" t="n">
        <v>900000</v>
      </c>
      <c r="C6" s="11" t="s">
        <v>175</v>
      </c>
      <c r="D6" s="19" t="n">
        <v>200000</v>
      </c>
    </row>
    <row r="7" customFormat="false" ht="15" hidden="false" customHeight="false" outlineLevel="0" collapsed="false">
      <c r="A7" s="11" t="s">
        <v>176</v>
      </c>
      <c r="B7" s="19" t="n">
        <v>400000</v>
      </c>
      <c r="C7" s="11" t="s">
        <v>177</v>
      </c>
      <c r="D7" s="19" t="n">
        <v>0</v>
      </c>
    </row>
    <row r="8" customFormat="false" ht="15" hidden="false" customHeight="false" outlineLevel="0" collapsed="false">
      <c r="A8" s="11" t="s">
        <v>178</v>
      </c>
      <c r="B8" s="19" t="n">
        <v>150000</v>
      </c>
      <c r="C8" s="11" t="s">
        <v>179</v>
      </c>
      <c r="D8" s="19" t="n">
        <v>100000</v>
      </c>
    </row>
    <row r="9" customFormat="false" ht="15" hidden="false" customHeight="false" outlineLevel="0" collapsed="false">
      <c r="A9" s="11" t="s">
        <v>180</v>
      </c>
      <c r="B9" s="19" t="n">
        <v>350000</v>
      </c>
      <c r="C9" s="11" t="s">
        <v>179</v>
      </c>
      <c r="D9" s="19" t="n">
        <v>350000</v>
      </c>
    </row>
    <row r="10" customFormat="false" ht="15" hidden="false" customHeight="false" outlineLevel="0" collapsed="false">
      <c r="A10" s="11" t="s">
        <v>181</v>
      </c>
      <c r="B10" s="19" t="n">
        <v>100000</v>
      </c>
      <c r="C10" s="11" t="s">
        <v>179</v>
      </c>
      <c r="D10" s="19" t="n">
        <v>100000</v>
      </c>
    </row>
    <row r="11" customFormat="false" ht="15" hidden="false" customHeight="false" outlineLevel="0" collapsed="false">
      <c r="A11" s="11"/>
      <c r="B11" s="19"/>
      <c r="C11" s="11"/>
      <c r="D11" s="19"/>
    </row>
    <row r="12" customFormat="false" ht="15" hidden="false" customHeight="false" outlineLevel="0" collapsed="false">
      <c r="A12" s="11"/>
      <c r="B12" s="19"/>
      <c r="C12" s="11"/>
      <c r="D12" s="19"/>
    </row>
    <row r="13" customFormat="false" ht="15" hidden="false" customHeight="false" outlineLevel="0" collapsed="false">
      <c r="A13" s="11"/>
      <c r="B13" s="19"/>
      <c r="C13" s="11"/>
      <c r="D13" s="19"/>
    </row>
    <row r="14" customFormat="false" ht="15" hidden="false" customHeight="false" outlineLevel="0" collapsed="false">
      <c r="A14" s="12" t="s">
        <v>182</v>
      </c>
      <c r="B14" s="20" t="n">
        <f aca="false">SUM(B6:B13)</f>
        <v>1900000</v>
      </c>
      <c r="D14" s="20" t="n">
        <f aca="false">SUM(D6:D13)</f>
        <v>750000</v>
      </c>
    </row>
    <row r="15" customFormat="false" ht="15" hidden="false" customHeight="false" outlineLevel="0" collapsed="false">
      <c r="A15" s="8" t="s">
        <v>183</v>
      </c>
      <c r="B15" s="19" t="n">
        <v>0</v>
      </c>
      <c r="D15" s="19" t="n">
        <v>400000</v>
      </c>
    </row>
    <row r="16" customFormat="false" ht="15" hidden="false" customHeight="false" outlineLevel="0" collapsed="false">
      <c r="A16" s="12" t="s">
        <v>184</v>
      </c>
      <c r="B16" s="20" t="n">
        <f aca="false">B14-B15</f>
        <v>1900000</v>
      </c>
      <c r="D16" s="20" t="n">
        <f aca="false">D14-D15</f>
        <v>350000</v>
      </c>
    </row>
    <row r="18" customFormat="false" ht="15" hidden="false" customHeight="false" outlineLevel="0" collapsed="false">
      <c r="A18" s="8" t="s">
        <v>185</v>
      </c>
      <c r="B18" s="19" t="n">
        <v>7600000</v>
      </c>
    </row>
    <row r="19" customFormat="false" ht="15" hidden="false" customHeight="false" outlineLevel="0" collapsed="false">
      <c r="A19" s="12" t="s">
        <v>186</v>
      </c>
      <c r="B19" s="21" t="n">
        <f aca="false">IF(B16&gt;0,B18/B16,"Self-funding")</f>
        <v>4</v>
      </c>
    </row>
    <row r="20" customFormat="false" ht="15" hidden="false" customHeight="false" outlineLevel="0" collapsed="false">
      <c r="A20" s="12" t="s">
        <v>187</v>
      </c>
      <c r="B20" s="21" t="n">
        <f aca="false">IF(D16&gt;0,B18/D16,"Self-funding")</f>
        <v>21.7142857142857</v>
      </c>
    </row>
    <row r="21" customFormat="false" ht="15" hidden="false" customHeight="false" outlineLevel="0" collapsed="false">
      <c r="A21" s="12" t="s">
        <v>188</v>
      </c>
      <c r="B21" s="21" t="n">
        <f aca="false">IF((D14-D15*0.7)&gt;0,B18/(D14-D15*0.7),"Self-funding")</f>
        <v>16.1702127659574</v>
      </c>
    </row>
    <row r="22" customFormat="false" ht="15" hidden="false" customHeight="false" outlineLevel="0" collapsed="false">
      <c r="A22" s="12" t="s">
        <v>189</v>
      </c>
    </row>
    <row r="23" customFormat="false" ht="15" hidden="false" customHeight="false" outlineLevel="0" collapsed="false">
      <c r="A23" s="8" t="s">
        <v>179</v>
      </c>
      <c r="B23" s="24" t="n">
        <f aca="false">SUMIF(C6:C13,"Survive",D6:D13)</f>
        <v>550000</v>
      </c>
    </row>
    <row r="24" customFormat="false" ht="15" hidden="false" customHeight="false" outlineLevel="0" collapsed="false">
      <c r="A24" s="8" t="s">
        <v>175</v>
      </c>
      <c r="B24" s="24" t="n">
        <f aca="false">SUMIF(C6:C13,"Prove",D6:D13)</f>
        <v>200000</v>
      </c>
    </row>
    <row r="25" customFormat="false" ht="15" hidden="false" customHeight="false" outlineLevel="0" collapsed="false">
      <c r="A25" s="8" t="s">
        <v>177</v>
      </c>
      <c r="B25" s="24" t="n">
        <f aca="false">SUMIF(C6:C13,"Wait",D6:D13)</f>
        <v>0</v>
      </c>
    </row>
    <row r="27" customFormat="false" ht="15" hidden="false" customHeight="false" outlineLevel="0" collapsed="false">
      <c r="A27" s="8" t="s">
        <v>190</v>
      </c>
      <c r="B27" s="11" t="s">
        <v>191</v>
      </c>
      <c r="C27" s="11"/>
      <c r="D27" s="11"/>
    </row>
    <row r="28" customFormat="false" ht="15" hidden="false" customHeight="false" outlineLevel="0" collapsed="false">
      <c r="A28" s="8" t="s">
        <v>192</v>
      </c>
      <c r="B28" s="11" t="s">
        <v>193</v>
      </c>
    </row>
  </sheetData>
  <mergeCells count="3">
    <mergeCell ref="A2:G2"/>
    <mergeCell ref="A3:G3"/>
    <mergeCell ref="B27:D27"/>
  </mergeCells>
  <dataValidations count="1">
    <dataValidation allowBlank="true" errorStyle="stop" operator="between" showDropDown="false" showErrorMessage="false" showInputMessage="false" sqref="C6:C13" type="list">
      <formula1>"Survive,Prove,Wait"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5" min="3" style="0" width="22"/>
    <col collapsed="false" customWidth="true" hidden="false" outlineLevel="0" max="6" min="6" style="0" width="18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4" t="s">
        <v>194</v>
      </c>
    </row>
    <row r="2" customFormat="false" ht="42" hidden="false" customHeight="true" outlineLevel="0" collapsed="false">
      <c r="A2" s="5" t="s">
        <v>195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196</v>
      </c>
      <c r="B5" s="7" t="s">
        <v>197</v>
      </c>
      <c r="C5" s="7" t="s">
        <v>198</v>
      </c>
      <c r="D5" s="7" t="s">
        <v>199</v>
      </c>
      <c r="E5" s="7" t="s">
        <v>200</v>
      </c>
      <c r="F5" s="7" t="s">
        <v>201</v>
      </c>
      <c r="G5" s="7" t="s">
        <v>202</v>
      </c>
    </row>
    <row r="6" customFormat="false" ht="15" hidden="false" customHeight="false" outlineLevel="0" collapsed="false">
      <c r="A6" s="11" t="s">
        <v>203</v>
      </c>
      <c r="B6" s="19" t="n">
        <v>5000000</v>
      </c>
      <c r="C6" s="25" t="n">
        <v>1.5</v>
      </c>
      <c r="D6" s="11" t="s">
        <v>204</v>
      </c>
      <c r="E6" s="11" t="s">
        <v>205</v>
      </c>
      <c r="F6" s="24" t="n">
        <f aca="false">SUM($B$6:B6)</f>
        <v>5000000</v>
      </c>
      <c r="G6" s="16" t="n">
        <f aca="false">IF($B$12&gt;0,B6/$B$12,0)</f>
        <v>0.166666666666667</v>
      </c>
    </row>
    <row r="7" customFormat="false" ht="15" hidden="false" customHeight="false" outlineLevel="0" collapsed="false">
      <c r="A7" s="11" t="s">
        <v>206</v>
      </c>
      <c r="B7" s="19" t="n">
        <v>7000000</v>
      </c>
      <c r="C7" s="25" t="n">
        <v>3</v>
      </c>
      <c r="D7" s="11" t="s">
        <v>207</v>
      </c>
      <c r="E7" s="11" t="s">
        <v>208</v>
      </c>
      <c r="F7" s="24" t="n">
        <f aca="false">SUM($B$6:B7)</f>
        <v>12000000</v>
      </c>
      <c r="G7" s="16" t="n">
        <f aca="false">IF($B$12&gt;0,B7/$B$12,0)</f>
        <v>0.233333333333333</v>
      </c>
    </row>
    <row r="8" customFormat="false" ht="15" hidden="false" customHeight="false" outlineLevel="0" collapsed="false">
      <c r="A8" s="11" t="s">
        <v>209</v>
      </c>
      <c r="B8" s="19" t="n">
        <v>8000000</v>
      </c>
      <c r="C8" s="25" t="n">
        <v>4</v>
      </c>
      <c r="D8" s="11" t="s">
        <v>210</v>
      </c>
      <c r="E8" s="11" t="s">
        <v>211</v>
      </c>
      <c r="F8" s="24" t="n">
        <f aca="false">SUM($B$6:B8)</f>
        <v>20000000</v>
      </c>
      <c r="G8" s="16" t="n">
        <f aca="false">IF($B$12&gt;0,B8/$B$12,0)</f>
        <v>0.266666666666667</v>
      </c>
    </row>
    <row r="9" customFormat="false" ht="15" hidden="false" customHeight="false" outlineLevel="0" collapsed="false">
      <c r="A9" s="11" t="s">
        <v>212</v>
      </c>
      <c r="B9" s="19" t="n">
        <v>10000000</v>
      </c>
      <c r="C9" s="25" t="n">
        <v>6</v>
      </c>
      <c r="D9" s="11" t="s">
        <v>213</v>
      </c>
      <c r="E9" s="11" t="s">
        <v>214</v>
      </c>
      <c r="F9" s="24" t="n">
        <f aca="false">SUM($B$6:B9)</f>
        <v>30000000</v>
      </c>
      <c r="G9" s="16" t="n">
        <f aca="false">IF($B$12&gt;0,B9/$B$12,0)</f>
        <v>0.333333333333333</v>
      </c>
    </row>
    <row r="10" customFormat="false" ht="15" hidden="false" customHeight="false" outlineLevel="0" collapsed="false">
      <c r="A10" s="11"/>
      <c r="B10" s="19"/>
      <c r="C10" s="11"/>
      <c r="D10" s="11"/>
      <c r="E10" s="11"/>
      <c r="F10" s="24" t="n">
        <f aca="false">SUM($B$6:B10)</f>
        <v>30000000</v>
      </c>
      <c r="G10" s="16" t="n">
        <f aca="false">IF($B$12&gt;0,B10/$B$12,0)</f>
        <v>0</v>
      </c>
    </row>
    <row r="11" customFormat="false" ht="15" hidden="false" customHeight="false" outlineLevel="0" collapsed="false">
      <c r="A11" s="11"/>
      <c r="B11" s="19"/>
      <c r="C11" s="11"/>
      <c r="D11" s="11"/>
      <c r="E11" s="11"/>
      <c r="F11" s="24" t="n">
        <f aca="false">SUM($B$6:B11)</f>
        <v>30000000</v>
      </c>
      <c r="G11" s="16" t="n">
        <f aca="false">IF($B$12&gt;0,B11/$B$12,0)</f>
        <v>0</v>
      </c>
    </row>
    <row r="12" customFormat="false" ht="15" hidden="false" customHeight="false" outlineLevel="0" collapsed="false">
      <c r="A12" s="12" t="s">
        <v>215</v>
      </c>
      <c r="B12" s="20" t="n">
        <f aca="false">SUM(B6:B11)</f>
        <v>30000000</v>
      </c>
      <c r="C12" s="26" t="n">
        <f aca="false">SUM(C6:C11)</f>
        <v>14.5</v>
      </c>
    </row>
    <row r="14" customFormat="false" ht="15" hidden="false" customHeight="false" outlineLevel="0" collapsed="false">
      <c r="A14" s="12" t="s">
        <v>216</v>
      </c>
    </row>
    <row r="15" customFormat="false" ht="23.85" hidden="false" customHeight="false" outlineLevel="0" collapsed="false">
      <c r="A15" s="7" t="s">
        <v>217</v>
      </c>
      <c r="B15" s="7" t="s">
        <v>218</v>
      </c>
      <c r="C15" s="7" t="s">
        <v>219</v>
      </c>
    </row>
    <row r="16" customFormat="false" ht="15" hidden="false" customHeight="false" outlineLevel="0" collapsed="false">
      <c r="A16" s="8" t="s">
        <v>220</v>
      </c>
      <c r="B16" s="15" t="n">
        <v>0.1</v>
      </c>
      <c r="C16" s="16" t="n">
        <f aca="false">1-B16</f>
        <v>0.9</v>
      </c>
    </row>
    <row r="17" customFormat="false" ht="15" hidden="false" customHeight="false" outlineLevel="0" collapsed="false">
      <c r="A17" s="8" t="s">
        <v>221</v>
      </c>
      <c r="B17" s="15" t="n">
        <v>0.15</v>
      </c>
      <c r="C17" s="16" t="n">
        <f aca="false">PRODUCT(1-$B$16,1-$B$17)</f>
        <v>0.765</v>
      </c>
    </row>
    <row r="18" customFormat="false" ht="15" hidden="false" customHeight="false" outlineLevel="0" collapsed="false">
      <c r="A18" s="8" t="s">
        <v>222</v>
      </c>
      <c r="B18" s="15" t="n">
        <v>0</v>
      </c>
      <c r="C18" s="16" t="n">
        <f aca="false">PRODUCT(1-$B$16,1-$B$17,1-$B$18)</f>
        <v>0.765</v>
      </c>
    </row>
    <row r="20" customFormat="false" ht="15" hidden="false" customHeight="false" outlineLevel="0" collapsed="false">
      <c r="A20" s="12" t="s">
        <v>223</v>
      </c>
    </row>
    <row r="21" customFormat="false" ht="15" hidden="false" customHeight="false" outlineLevel="0" collapsed="false">
      <c r="A21" s="8" t="s">
        <v>224</v>
      </c>
      <c r="B21" s="19" t="n">
        <v>20000000</v>
      </c>
    </row>
    <row r="22" customFormat="false" ht="15" hidden="false" customHeight="false" outlineLevel="0" collapsed="false">
      <c r="A22" s="8" t="s">
        <v>225</v>
      </c>
      <c r="B22" s="19" t="n">
        <v>200000000</v>
      </c>
    </row>
    <row r="23" customFormat="false" ht="15" hidden="false" customHeight="false" outlineLevel="0" collapsed="false">
      <c r="A23" s="12" t="s">
        <v>226</v>
      </c>
      <c r="B23" s="23" t="n">
        <f aca="false">IF(B22&gt;0,B21/B22,0)</f>
        <v>0.1</v>
      </c>
    </row>
    <row r="25" customFormat="false" ht="15" hidden="false" customHeight="false" outlineLevel="0" collapsed="false">
      <c r="A25" s="8" t="s">
        <v>227</v>
      </c>
    </row>
  </sheetData>
  <mergeCells count="2"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6" min="4" style="0" width="22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4" t="s">
        <v>228</v>
      </c>
    </row>
    <row r="2" customFormat="false" ht="42" hidden="false" customHeight="true" outlineLevel="0" collapsed="false">
      <c r="A2" s="5" t="s">
        <v>229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230</v>
      </c>
      <c r="B5" s="7" t="s">
        <v>231</v>
      </c>
      <c r="C5" s="7" t="s">
        <v>232</v>
      </c>
      <c r="D5" s="7" t="s">
        <v>233</v>
      </c>
      <c r="E5" s="7" t="s">
        <v>234</v>
      </c>
      <c r="F5" s="7" t="s">
        <v>235</v>
      </c>
      <c r="G5" s="7" t="s">
        <v>236</v>
      </c>
    </row>
    <row r="6" customFormat="false" ht="15" hidden="false" customHeight="false" outlineLevel="0" collapsed="false">
      <c r="A6" s="11" t="s">
        <v>237</v>
      </c>
      <c r="B6" s="11" t="s">
        <v>238</v>
      </c>
      <c r="C6" s="19" t="n">
        <v>3220000</v>
      </c>
      <c r="D6" s="19" t="n">
        <v>12000000</v>
      </c>
      <c r="E6" s="19" t="n">
        <v>300000</v>
      </c>
      <c r="F6" s="24" t="n">
        <f aca="false">C6-E6</f>
        <v>2920000</v>
      </c>
      <c r="G6" s="22" t="n">
        <f aca="false">IF(AND(D6&gt;0,F6&gt;0),D6/F6,IF(D6&gt;0,"No payback",""))</f>
        <v>4.10958904109589</v>
      </c>
    </row>
    <row r="7" customFormat="false" ht="15" hidden="false" customHeight="false" outlineLevel="0" collapsed="false">
      <c r="A7" s="11" t="s">
        <v>239</v>
      </c>
      <c r="B7" s="11" t="s">
        <v>240</v>
      </c>
      <c r="C7" s="19" t="n">
        <v>900000</v>
      </c>
      <c r="D7" s="19" t="n">
        <v>4000000</v>
      </c>
      <c r="E7" s="19" t="n">
        <v>150000</v>
      </c>
      <c r="F7" s="24" t="n">
        <f aca="false">C7-E7</f>
        <v>750000</v>
      </c>
      <c r="G7" s="22" t="n">
        <f aca="false">IF(AND(D7&gt;0,F7&gt;0),D7/F7,IF(D7&gt;0,"No payback",""))</f>
        <v>5.33333333333333</v>
      </c>
    </row>
    <row r="8" customFormat="false" ht="15" hidden="false" customHeight="false" outlineLevel="0" collapsed="false">
      <c r="A8" s="11" t="s">
        <v>241</v>
      </c>
      <c r="B8" s="11" t="s">
        <v>242</v>
      </c>
      <c r="C8" s="19" t="n">
        <v>400000</v>
      </c>
      <c r="D8" s="19" t="n">
        <v>9000000</v>
      </c>
      <c r="E8" s="19" t="n">
        <v>250000</v>
      </c>
      <c r="F8" s="24" t="n">
        <f aca="false">C8-E8</f>
        <v>150000</v>
      </c>
      <c r="G8" s="22" t="n">
        <f aca="false">IF(AND(D8&gt;0,F8&gt;0),D8/F8,IF(D8&gt;0,"No payback",""))</f>
        <v>60</v>
      </c>
    </row>
    <row r="9" customFormat="false" ht="15" hidden="false" customHeight="false" outlineLevel="0" collapsed="false">
      <c r="A9" s="11"/>
      <c r="B9" s="11"/>
      <c r="C9" s="19"/>
      <c r="D9" s="19"/>
      <c r="E9" s="19"/>
      <c r="F9" s="24" t="n">
        <f aca="false">C9-E9</f>
        <v>0</v>
      </c>
      <c r="G9" s="22" t="str">
        <f aca="false">IF(AND(D9&gt;0,F9&gt;0),D9/F9,IF(D9&gt;0,"No payback",""))</f>
        <v/>
      </c>
    </row>
    <row r="10" customFormat="false" ht="15" hidden="false" customHeight="false" outlineLevel="0" collapsed="false">
      <c r="A10" s="11"/>
      <c r="B10" s="11"/>
      <c r="C10" s="19"/>
      <c r="D10" s="19"/>
      <c r="E10" s="19"/>
      <c r="F10" s="24" t="n">
        <f aca="false">C10-E10</f>
        <v>0</v>
      </c>
      <c r="G10" s="22" t="str">
        <f aca="false">IF(AND(D10&gt;0,F10&gt;0),D10/F10,IF(D10&gt;0,"No payback",""))</f>
        <v/>
      </c>
    </row>
    <row r="11" customFormat="false" ht="15" hidden="false" customHeight="false" outlineLevel="0" collapsed="false">
      <c r="A11" s="11"/>
      <c r="B11" s="11"/>
      <c r="C11" s="19"/>
      <c r="D11" s="19"/>
      <c r="E11" s="19"/>
      <c r="F11" s="24" t="n">
        <f aca="false">C11-E11</f>
        <v>0</v>
      </c>
      <c r="G11" s="22" t="str">
        <f aca="false">IF(AND(D11&gt;0,F11&gt;0),D11/F11,IF(D11&gt;0,"No payback",""))</f>
        <v/>
      </c>
    </row>
    <row r="13" customFormat="false" ht="15" hidden="false" customHeight="false" outlineLevel="0" collapsed="false">
      <c r="A13" s="8" t="s">
        <v>243</v>
      </c>
    </row>
  </sheetData>
  <mergeCells count="2"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6" min="2" style="0" width="16"/>
  </cols>
  <sheetData>
    <row r="1" customFormat="false" ht="17.35" hidden="false" customHeight="false" outlineLevel="0" collapsed="false">
      <c r="A1" s="4" t="s">
        <v>244</v>
      </c>
    </row>
    <row r="2" customFormat="false" ht="42" hidden="false" customHeight="true" outlineLevel="0" collapsed="false">
      <c r="A2" s="5" t="s">
        <v>245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246</v>
      </c>
      <c r="B5" s="7" t="s">
        <v>247</v>
      </c>
      <c r="C5" s="7" t="s">
        <v>248</v>
      </c>
      <c r="D5" s="7" t="s">
        <v>249</v>
      </c>
      <c r="E5" s="7" t="s">
        <v>250</v>
      </c>
      <c r="F5" s="7" t="s">
        <v>251</v>
      </c>
    </row>
    <row r="6" customFormat="false" ht="15" hidden="false" customHeight="false" outlineLevel="0" collapsed="false">
      <c r="A6" s="11" t="s">
        <v>252</v>
      </c>
      <c r="B6" s="15" t="n">
        <v>0.2</v>
      </c>
      <c r="C6" s="9" t="n">
        <v>2</v>
      </c>
      <c r="D6" s="9" t="n">
        <v>4</v>
      </c>
      <c r="E6" s="9" t="n">
        <v>3</v>
      </c>
      <c r="F6" s="9" t="n">
        <v>4</v>
      </c>
    </row>
    <row r="7" customFormat="false" ht="15" hidden="false" customHeight="false" outlineLevel="0" collapsed="false">
      <c r="A7" s="11" t="s">
        <v>253</v>
      </c>
      <c r="B7" s="15" t="n">
        <v>0.15</v>
      </c>
      <c r="C7" s="9" t="n">
        <v>2</v>
      </c>
      <c r="D7" s="9" t="n">
        <v>5</v>
      </c>
      <c r="E7" s="9" t="n">
        <v>3</v>
      </c>
      <c r="F7" s="9" t="n">
        <v>4</v>
      </c>
    </row>
    <row r="8" customFormat="false" ht="15" hidden="false" customHeight="false" outlineLevel="0" collapsed="false">
      <c r="A8" s="11" t="s">
        <v>254</v>
      </c>
      <c r="B8" s="15" t="n">
        <v>0.15</v>
      </c>
      <c r="C8" s="9" t="n">
        <v>5</v>
      </c>
      <c r="D8" s="9" t="n">
        <v>2</v>
      </c>
      <c r="E8" s="9" t="n">
        <v>3</v>
      </c>
      <c r="F8" s="9" t="n">
        <v>2</v>
      </c>
    </row>
    <row r="9" customFormat="false" ht="15" hidden="false" customHeight="false" outlineLevel="0" collapsed="false">
      <c r="A9" s="11" t="s">
        <v>255</v>
      </c>
      <c r="B9" s="15" t="n">
        <v>0.1</v>
      </c>
      <c r="C9" s="9" t="n">
        <v>5</v>
      </c>
      <c r="D9" s="9" t="n">
        <v>1</v>
      </c>
      <c r="E9" s="9" t="n">
        <v>2</v>
      </c>
      <c r="F9" s="9" t="n">
        <v>1</v>
      </c>
    </row>
    <row r="10" customFormat="false" ht="15" hidden="false" customHeight="false" outlineLevel="0" collapsed="false">
      <c r="A10" s="11" t="s">
        <v>256</v>
      </c>
      <c r="B10" s="15" t="n">
        <v>0.15</v>
      </c>
      <c r="C10" s="9" t="n">
        <v>3</v>
      </c>
      <c r="D10" s="9" t="n">
        <v>3</v>
      </c>
      <c r="E10" s="9" t="n">
        <v>3</v>
      </c>
      <c r="F10" s="9" t="n">
        <v>3</v>
      </c>
    </row>
    <row r="11" customFormat="false" ht="15" hidden="false" customHeight="false" outlineLevel="0" collapsed="false">
      <c r="A11" s="11" t="s">
        <v>257</v>
      </c>
      <c r="B11" s="15" t="n">
        <v>0.25</v>
      </c>
      <c r="C11" s="9" t="n">
        <v>5</v>
      </c>
      <c r="D11" s="9" t="n">
        <v>2</v>
      </c>
      <c r="E11" s="9" t="n">
        <v>3</v>
      </c>
      <c r="F11" s="9" t="n">
        <v>2</v>
      </c>
    </row>
    <row r="12" customFormat="false" ht="15" hidden="false" customHeight="false" outlineLevel="0" collapsed="false">
      <c r="A12" s="12" t="s">
        <v>258</v>
      </c>
      <c r="B12" s="23" t="n">
        <f aca="false">SUM(B6:B11)</f>
        <v>1</v>
      </c>
      <c r="C12" s="12" t="str">
        <f aca="false">IF(ROUND(B12,4)=1,"OK","Weights must add to 100%")</f>
        <v>OK</v>
      </c>
    </row>
    <row r="13" customFormat="false" ht="15" hidden="false" customHeight="false" outlineLevel="0" collapsed="false">
      <c r="A13" s="12" t="s">
        <v>259</v>
      </c>
      <c r="C13" s="27" t="n">
        <f aca="false">SUMPRODUCT($B$6:$B$11,C6:C11)</f>
        <v>3.65</v>
      </c>
      <c r="D13" s="27" t="n">
        <f aca="false">SUMPRODUCT($B$6:$B$11,D6:D11)</f>
        <v>2.9</v>
      </c>
      <c r="E13" s="27" t="n">
        <f aca="false">SUMPRODUCT($B$6:$B$11,E6:E11)</f>
        <v>2.9</v>
      </c>
      <c r="F13" s="27" t="n">
        <f aca="false">SUMPRODUCT($B$6:$B$11,F6:F11)</f>
        <v>2.75</v>
      </c>
    </row>
    <row r="14" customFormat="false" ht="15" hidden="false" customHeight="false" outlineLevel="0" collapsed="false">
      <c r="A14" s="12" t="s">
        <v>260</v>
      </c>
      <c r="B14" s="12" t="str">
        <f aca="false">INDEX(C5:F5,MATCH(MAX(C13:F13),C13:F13,0))</f>
        <v>Build</v>
      </c>
    </row>
    <row r="16" customFormat="false" ht="15" hidden="false" customHeight="false" outlineLevel="0" collapsed="false">
      <c r="A16" s="12" t="s">
        <v>261</v>
      </c>
    </row>
    <row r="17" customFormat="false" ht="15" hidden="false" customHeight="false" outlineLevel="0" collapsed="false">
      <c r="A17" s="7" t="s">
        <v>262</v>
      </c>
      <c r="B17" s="7" t="s">
        <v>263</v>
      </c>
      <c r="C17" s="7" t="s">
        <v>264</v>
      </c>
    </row>
    <row r="18" customFormat="false" ht="15" hidden="false" customHeight="false" outlineLevel="0" collapsed="false">
      <c r="A18" s="8" t="s">
        <v>265</v>
      </c>
      <c r="B18" s="19" t="n">
        <v>50000000</v>
      </c>
      <c r="C18" s="19" t="n">
        <v>10000000</v>
      </c>
    </row>
    <row r="19" customFormat="false" ht="15" hidden="false" customHeight="false" outlineLevel="0" collapsed="false">
      <c r="A19" s="8" t="s">
        <v>266</v>
      </c>
      <c r="B19" s="19" t="n">
        <v>15000000</v>
      </c>
      <c r="C19" s="19" t="n">
        <v>20000000</v>
      </c>
    </row>
    <row r="20" customFormat="false" ht="15" hidden="false" customHeight="false" outlineLevel="0" collapsed="false">
      <c r="A20" s="8" t="s">
        <v>267</v>
      </c>
      <c r="B20" s="9" t="n">
        <v>3</v>
      </c>
      <c r="C20" s="9" t="n">
        <v>3</v>
      </c>
    </row>
    <row r="21" customFormat="false" ht="15" hidden="false" customHeight="false" outlineLevel="0" collapsed="false">
      <c r="A21" s="12" t="s">
        <v>268</v>
      </c>
      <c r="B21" s="20" t="n">
        <f aca="false">B18+B19*B20</f>
        <v>95000000</v>
      </c>
      <c r="C21" s="20" t="n">
        <f aca="false">C18+C19*C20</f>
        <v>70000000</v>
      </c>
    </row>
    <row r="22" customFormat="false" ht="15" hidden="false" customHeight="false" outlineLevel="0" collapsed="false">
      <c r="A22" s="8" t="s">
        <v>269</v>
      </c>
      <c r="C22" s="15" t="n">
        <v>0.25</v>
      </c>
    </row>
    <row r="23" customFormat="false" ht="15" hidden="false" customHeight="false" outlineLevel="0" collapsed="false">
      <c r="A23" s="12" t="s">
        <v>270</v>
      </c>
      <c r="C23" s="20" t="n">
        <f aca="false">C18+C19*(C20-1)+C19*(1+C22)</f>
        <v>75000000</v>
      </c>
    </row>
    <row r="24" customFormat="false" ht="15" hidden="false" customHeight="false" outlineLevel="0" collapsed="false">
      <c r="A24" s="12" t="s">
        <v>271</v>
      </c>
      <c r="B24" s="20" t="n">
        <f aca="false">B21-C21</f>
        <v>25000000</v>
      </c>
    </row>
    <row r="26" customFormat="false" ht="15" hidden="false" customHeight="false" outlineLevel="0" collapsed="false">
      <c r="A26" s="8" t="s">
        <v>272</v>
      </c>
    </row>
  </sheetData>
  <mergeCells count="2"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46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4" t="s">
        <v>273</v>
      </c>
    </row>
    <row r="2" customFormat="false" ht="42" hidden="false" customHeight="true" outlineLevel="0" collapsed="false">
      <c r="A2" s="5" t="s">
        <v>274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6" t="s">
        <v>23</v>
      </c>
      <c r="B3" s="6"/>
      <c r="C3" s="6"/>
      <c r="D3" s="6"/>
      <c r="E3" s="6"/>
      <c r="F3" s="6"/>
      <c r="G3" s="6"/>
    </row>
    <row r="5" customFormat="false" ht="15" hidden="false" customHeight="false" outlineLevel="0" collapsed="false">
      <c r="A5" s="7" t="s">
        <v>275</v>
      </c>
      <c r="B5" s="7" t="s">
        <v>276</v>
      </c>
      <c r="C5" s="7" t="s">
        <v>26</v>
      </c>
      <c r="D5" s="7" t="s">
        <v>277</v>
      </c>
    </row>
    <row r="6" customFormat="false" ht="15" hidden="false" customHeight="false" outlineLevel="0" collapsed="false">
      <c r="A6" s="8" t="s">
        <v>278</v>
      </c>
      <c r="B6" s="9" t="n">
        <v>4</v>
      </c>
      <c r="C6" s="10" t="s">
        <v>279</v>
      </c>
      <c r="D6" s="28" t="s">
        <v>280</v>
      </c>
    </row>
    <row r="7" customFormat="false" ht="15" hidden="false" customHeight="false" outlineLevel="0" collapsed="false">
      <c r="A7" s="8" t="s">
        <v>281</v>
      </c>
      <c r="B7" s="9" t="n">
        <v>3</v>
      </c>
      <c r="C7" s="10" t="s">
        <v>282</v>
      </c>
      <c r="D7" s="28" t="s">
        <v>283</v>
      </c>
    </row>
    <row r="8" customFormat="false" ht="15" hidden="false" customHeight="false" outlineLevel="0" collapsed="false">
      <c r="A8" s="8" t="s">
        <v>284</v>
      </c>
      <c r="B8" s="9" t="n">
        <v>4</v>
      </c>
      <c r="C8" s="10" t="s">
        <v>285</v>
      </c>
      <c r="D8" s="28" t="s">
        <v>286</v>
      </c>
    </row>
    <row r="9" customFormat="false" ht="15" hidden="false" customHeight="false" outlineLevel="0" collapsed="false">
      <c r="A9" s="8" t="s">
        <v>287</v>
      </c>
      <c r="B9" s="9" t="n">
        <v>3</v>
      </c>
      <c r="C9" s="10" t="s">
        <v>288</v>
      </c>
      <c r="D9" s="28" t="s">
        <v>289</v>
      </c>
    </row>
    <row r="10" customFormat="false" ht="15" hidden="false" customHeight="false" outlineLevel="0" collapsed="false">
      <c r="A10" s="8" t="s">
        <v>290</v>
      </c>
      <c r="B10" s="9" t="n">
        <v>2</v>
      </c>
      <c r="C10" s="10" t="s">
        <v>291</v>
      </c>
      <c r="D10" s="28" t="s">
        <v>292</v>
      </c>
    </row>
    <row r="11" customFormat="false" ht="15" hidden="false" customHeight="false" outlineLevel="0" collapsed="false">
      <c r="A11" s="8" t="s">
        <v>293</v>
      </c>
      <c r="B11" s="9" t="n">
        <v>3</v>
      </c>
      <c r="C11" s="10" t="s">
        <v>294</v>
      </c>
      <c r="D11" s="28" t="s">
        <v>295</v>
      </c>
    </row>
    <row r="12" customFormat="false" ht="15" hidden="false" customHeight="false" outlineLevel="0" collapsed="false">
      <c r="A12" s="8" t="s">
        <v>296</v>
      </c>
      <c r="B12" s="9" t="n">
        <v>4</v>
      </c>
      <c r="C12" s="10" t="s">
        <v>297</v>
      </c>
      <c r="D12" s="28" t="s">
        <v>298</v>
      </c>
    </row>
    <row r="13" customFormat="false" ht="15" hidden="false" customHeight="false" outlineLevel="0" collapsed="false">
      <c r="A13" s="12" t="s">
        <v>299</v>
      </c>
      <c r="B13" s="13" t="n">
        <f aca="false">SUM(B6:B12)</f>
        <v>23</v>
      </c>
    </row>
    <row r="14" customFormat="false" ht="15" hidden="false" customHeight="false" outlineLevel="0" collapsed="false">
      <c r="A14" s="12" t="s">
        <v>300</v>
      </c>
      <c r="B14" s="12" t="str">
        <f aca="false">INDEX(A6:A12,MATCH(MIN(B6:B12),B6:B12,0))</f>
        <v>5. Capital</v>
      </c>
    </row>
    <row r="15" customFormat="false" ht="15" hidden="false" customHeight="false" outlineLevel="0" collapsed="false">
      <c r="A15" s="12" t="s">
        <v>301</v>
      </c>
      <c r="B15" s="12" t="str">
        <f aca="false">IF(AND(B6&gt;=4,B7&gt;=4,B10&gt;=4),"SCALE",IF(AND(B6&gt;=3,B7&gt;=3,B10&lt;=2),"PAUSE and work on the capital path",IF(AND(B6&gt;=4,OR(B7&lt;=3,B8&lt;=3)),"PIVOT the model",IF(AND(B6&lt;=2,B7&lt;=2),"KILL or reassess","REVIEW: mixed evidence"))))</f>
        <v>PAUSE and work on the capital path</v>
      </c>
      <c r="C15" s="12"/>
      <c r="D15" s="12"/>
    </row>
    <row r="16" customFormat="false" ht="15" hidden="false" customHeight="false" outlineLevel="0" collapsed="false">
      <c r="A16" s="8" t="s">
        <v>302</v>
      </c>
      <c r="B16" s="8" t="s">
        <v>303</v>
      </c>
      <c r="C16" s="8"/>
      <c r="D16" s="8"/>
    </row>
    <row r="17" customFormat="false" ht="15" hidden="false" customHeight="false" outlineLevel="0" collapsed="false">
      <c r="A17" s="8" t="s">
        <v>304</v>
      </c>
      <c r="B17" s="11" t="s">
        <v>66</v>
      </c>
      <c r="C17" s="11"/>
      <c r="D17" s="11"/>
    </row>
    <row r="18" customFormat="false" ht="15" hidden="false" customHeight="false" outlineLevel="0" collapsed="false">
      <c r="A18" s="8" t="s">
        <v>305</v>
      </c>
      <c r="B18" s="11" t="s">
        <v>193</v>
      </c>
      <c r="C18" s="11"/>
      <c r="D18" s="11"/>
    </row>
  </sheetData>
  <mergeCells count="6">
    <mergeCell ref="A2:G2"/>
    <mergeCell ref="A3:G3"/>
    <mergeCell ref="B15:D15"/>
    <mergeCell ref="B16:D16"/>
    <mergeCell ref="B17:D17"/>
    <mergeCell ref="B18:D18"/>
  </mergeCells>
  <dataValidations count="1">
    <dataValidation allowBlank="false" error="Enter a whole number from 1 to 5" errorStyle="stop" operator="between" showDropDown="false" showErrorMessage="true" showInputMessage="false" sqref="B6:B12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2026-10-06T22:06:59Z</dcterms:created>
  <dc:creator>openpyxl</dc:creator>
  <dc:description/>
  <dc:language>en-US</dc:language>
  <cp:lastModifiedBy/>
  <dcterms:modified xsi:type="dcterms:W3CDTF">2026-10-06T22:06:59Z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